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9660" firstSheet="2" activeTab="6"/>
  </bookViews>
  <sheets>
    <sheet name="DATA" sheetId="1" r:id="rId1"/>
    <sheet name="reportสล." sheetId="2" r:id="rId2"/>
    <sheet name="ยอดเบิกตาม GFMIS" sheetId="3" r:id="rId3"/>
    <sheet name="ยอดเบิกตามทะเบียน" sheetId="4" state="hidden" r:id="rId4"/>
    <sheet name="เปรียบเทียบGF-ทะเบียนคุม" sheetId="11" state="hidden" r:id="rId5"/>
    <sheet name="เทียบตัวชี้วัด" sheetId="5" r:id="rId6"/>
    <sheet name="ดำเนินงาน+ยาเสพติด" sheetId="12" r:id="rId7"/>
    <sheet name="รวมทุกงบ" sheetId="9" r:id="rId8"/>
    <sheet name="งบดำเนินงาน" sheetId="6" r:id="rId9"/>
    <sheet name="งบลงทุน" sheetId="8" r:id="rId10"/>
    <sheet name="รวมรายจ่ายอื่น" sheetId="13" r:id="rId11"/>
    <sheet name="ต่างประเทศ" sheetId="10" r:id="rId12"/>
    <sheet name="ยาเสพติด" sheetId="7" r:id="rId13"/>
    <sheet name="ถอนคืนรายได้แผ่นดิน" sheetId="14" r:id="rId14"/>
    <sheet name="สรุปการโอน" sheetId="15" r:id="rId15"/>
    <sheet name="รายละเอียดโครงการ" sheetId="16" r:id="rId16"/>
    <sheet name="หน่วยงานอื่น" sheetId="17" r:id="rId17"/>
    <sheet name="คบ.เขต" sheetId="18" r:id="rId18"/>
    <sheet name="สรุปผลโอนเบิกแทน" sheetId="19" r:id="rId19"/>
    <sheet name="เรียงตามเขต" sheetId="20" r:id="rId20"/>
    <sheet name="รายโครงการ" sheetId="21" r:id="rId21"/>
    <sheet name="สรุปเงินกัน" sheetId="22" r:id="rId22"/>
    <sheet name="รายละเอียดเงินกัน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xlnm._FilterDatabase" localSheetId="11" hidden="1">ต่างประเทศ!$C$6:$K$6</definedName>
    <definedName name="_xlnm.Print_Titles" localSheetId="0">DATA!$A:$A,DATA!$2:$2</definedName>
    <definedName name="_xlnm.Print_Titles" localSheetId="8">งบดำเนินงาน!$8:$9</definedName>
    <definedName name="_xlnm.Print_Titles" localSheetId="9">งบลงทุน!$8:$8</definedName>
    <definedName name="_xlnm.Print_Titles" localSheetId="11">ต่างประเทศ!$5:$5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3"/>
  <c r="E36"/>
  <c r="E42" s="1"/>
  <c r="E33"/>
  <c r="E32"/>
  <c r="E30"/>
  <c r="G26"/>
  <c r="G33" s="1"/>
  <c r="E26"/>
  <c r="H25"/>
  <c r="H24"/>
  <c r="H23"/>
  <c r="H22"/>
  <c r="H21"/>
  <c r="H20"/>
  <c r="H26" s="1"/>
  <c r="H33" s="1"/>
  <c r="E18"/>
  <c r="E43" s="1"/>
  <c r="G17"/>
  <c r="E17"/>
  <c r="H16"/>
  <c r="H17" s="1"/>
  <c r="E15"/>
  <c r="H14"/>
  <c r="G13"/>
  <c r="H13" s="1"/>
  <c r="H15" s="1"/>
  <c r="G12"/>
  <c r="E12"/>
  <c r="H11"/>
  <c r="H12" s="1"/>
  <c r="G10"/>
  <c r="E10"/>
  <c r="H9"/>
  <c r="H10" s="1"/>
  <c r="G8"/>
  <c r="E8"/>
  <c r="H7"/>
  <c r="H8" s="1"/>
  <c r="G7"/>
  <c r="A3"/>
  <c r="H18" l="1"/>
  <c r="H43" s="1"/>
  <c r="G18"/>
  <c r="G43" s="1"/>
  <c r="G15"/>
  <c r="D14" i="22" l="1"/>
  <c r="E10"/>
  <c r="D10"/>
  <c r="C10"/>
  <c r="C9"/>
  <c r="E9" s="1"/>
  <c r="C8"/>
  <c r="E8" s="1"/>
  <c r="C7"/>
  <c r="C6"/>
  <c r="E6" s="1"/>
  <c r="E1260" i="21"/>
  <c r="E1259" s="1"/>
  <c r="H1259" s="1"/>
  <c r="G1259"/>
  <c r="F1259"/>
  <c r="G1256"/>
  <c r="F1256"/>
  <c r="E1256"/>
  <c r="I1255"/>
  <c r="G1254"/>
  <c r="I1254" s="1"/>
  <c r="F1254"/>
  <c r="H1254" s="1"/>
  <c r="E1254"/>
  <c r="I1253"/>
  <c r="G1252"/>
  <c r="F1252"/>
  <c r="E1252"/>
  <c r="G1250"/>
  <c r="F1250"/>
  <c r="E1250"/>
  <c r="E1249" s="1"/>
  <c r="G1249"/>
  <c r="F1249"/>
  <c r="I1248"/>
  <c r="I1247"/>
  <c r="G1246"/>
  <c r="F1246"/>
  <c r="E1246"/>
  <c r="I1245"/>
  <c r="G1245"/>
  <c r="F1245"/>
  <c r="G1244"/>
  <c r="I1244" s="1"/>
  <c r="F1244"/>
  <c r="G1243"/>
  <c r="I1243" s="1"/>
  <c r="F1243"/>
  <c r="H1243" s="1"/>
  <c r="I1242"/>
  <c r="G1242"/>
  <c r="F1242"/>
  <c r="H1242" s="1"/>
  <c r="I1241"/>
  <c r="G1241"/>
  <c r="F1241"/>
  <c r="G1240"/>
  <c r="I1240" s="1"/>
  <c r="F1240"/>
  <c r="G1239"/>
  <c r="I1239" s="1"/>
  <c r="F1239"/>
  <c r="H1239" s="1"/>
  <c r="I1238"/>
  <c r="G1238"/>
  <c r="F1238"/>
  <c r="H1238" s="1"/>
  <c r="I1237"/>
  <c r="G1237"/>
  <c r="F1237"/>
  <c r="G1236"/>
  <c r="I1236" s="1"/>
  <c r="F1236"/>
  <c r="G1235"/>
  <c r="I1235" s="1"/>
  <c r="F1235"/>
  <c r="H1235" s="1"/>
  <c r="I1234"/>
  <c r="G1234"/>
  <c r="F1234"/>
  <c r="H1234" s="1"/>
  <c r="I1233"/>
  <c r="G1233"/>
  <c r="F1233"/>
  <c r="G1232"/>
  <c r="I1232" s="1"/>
  <c r="F1232"/>
  <c r="G1231"/>
  <c r="I1231" s="1"/>
  <c r="F1231"/>
  <c r="H1231" s="1"/>
  <c r="I1230"/>
  <c r="G1230"/>
  <c r="F1230"/>
  <c r="H1230" s="1"/>
  <c r="I1228"/>
  <c r="H1228"/>
  <c r="G1227"/>
  <c r="G1226" s="1"/>
  <c r="F1227"/>
  <c r="H1227" s="1"/>
  <c r="E1227"/>
  <c r="I1223"/>
  <c r="G1223"/>
  <c r="F1223"/>
  <c r="H1223" s="1"/>
  <c r="I1220"/>
  <c r="G1220"/>
  <c r="F1220"/>
  <c r="G1219"/>
  <c r="F1219"/>
  <c r="E1219"/>
  <c r="G1218"/>
  <c r="I1218" s="1"/>
  <c r="F1218"/>
  <c r="F1217" s="1"/>
  <c r="E1218"/>
  <c r="H1218" s="1"/>
  <c r="E1217"/>
  <c r="G1202"/>
  <c r="F1202"/>
  <c r="E1202"/>
  <c r="H1201"/>
  <c r="G1201"/>
  <c r="F1201"/>
  <c r="E1201"/>
  <c r="G1186"/>
  <c r="F1186"/>
  <c r="E1186"/>
  <c r="G1185"/>
  <c r="F1185"/>
  <c r="E1185"/>
  <c r="G1169"/>
  <c r="H1169" s="1"/>
  <c r="F1169"/>
  <c r="E1169"/>
  <c r="G1151"/>
  <c r="H1151" s="1"/>
  <c r="F1151"/>
  <c r="E1151"/>
  <c r="G1136"/>
  <c r="F1136"/>
  <c r="E1136"/>
  <c r="G1135"/>
  <c r="F1135"/>
  <c r="E1135"/>
  <c r="H1135" s="1"/>
  <c r="G1120"/>
  <c r="F1120"/>
  <c r="E1120"/>
  <c r="E1119" s="1"/>
  <c r="G1119"/>
  <c r="F1119"/>
  <c r="G1103"/>
  <c r="F1103"/>
  <c r="E1103"/>
  <c r="I1102"/>
  <c r="G1102"/>
  <c r="F1102"/>
  <c r="G1086"/>
  <c r="F1086"/>
  <c r="E1086"/>
  <c r="H1086" s="1"/>
  <c r="G1071"/>
  <c r="F1071"/>
  <c r="E1071"/>
  <c r="G1070"/>
  <c r="F1070"/>
  <c r="E1070"/>
  <c r="H1070" s="1"/>
  <c r="G1054"/>
  <c r="F1054"/>
  <c r="E1054"/>
  <c r="G1053"/>
  <c r="H1053" s="1"/>
  <c r="F1053"/>
  <c r="E1053"/>
  <c r="G1037"/>
  <c r="F1037"/>
  <c r="E1037"/>
  <c r="G1021"/>
  <c r="F1021"/>
  <c r="E1021"/>
  <c r="H1021" s="1"/>
  <c r="G1006"/>
  <c r="F1006"/>
  <c r="E1006"/>
  <c r="G1005"/>
  <c r="G988" s="1"/>
  <c r="F1005"/>
  <c r="E1005"/>
  <c r="G989"/>
  <c r="F989"/>
  <c r="H989" s="1"/>
  <c r="E989"/>
  <c r="I988"/>
  <c r="E988"/>
  <c r="G974"/>
  <c r="F974"/>
  <c r="E974"/>
  <c r="H973"/>
  <c r="G973"/>
  <c r="F973"/>
  <c r="E973"/>
  <c r="H958"/>
  <c r="G958"/>
  <c r="F958"/>
  <c r="E958"/>
  <c r="H943"/>
  <c r="G943"/>
  <c r="F943"/>
  <c r="E943"/>
  <c r="G928"/>
  <c r="F928"/>
  <c r="E928"/>
  <c r="G927"/>
  <c r="F927"/>
  <c r="F910" s="1"/>
  <c r="E927"/>
  <c r="G911"/>
  <c r="F911"/>
  <c r="E911"/>
  <c r="H911" s="1"/>
  <c r="I910"/>
  <c r="G895"/>
  <c r="F895"/>
  <c r="E895"/>
  <c r="G880"/>
  <c r="F880"/>
  <c r="E880"/>
  <c r="G863"/>
  <c r="I863" s="1"/>
  <c r="F863"/>
  <c r="G862"/>
  <c r="I862" s="1"/>
  <c r="F862"/>
  <c r="E862"/>
  <c r="G847"/>
  <c r="F847"/>
  <c r="F846" s="1"/>
  <c r="E847"/>
  <c r="G832"/>
  <c r="F832"/>
  <c r="E832"/>
  <c r="G831"/>
  <c r="F831"/>
  <c r="F738" s="1"/>
  <c r="E831"/>
  <c r="G817"/>
  <c r="F817"/>
  <c r="E817"/>
  <c r="E816" s="1"/>
  <c r="H816" s="1"/>
  <c r="G816"/>
  <c r="F816"/>
  <c r="G800"/>
  <c r="F800"/>
  <c r="E800"/>
  <c r="G785"/>
  <c r="F785"/>
  <c r="E785"/>
  <c r="G771"/>
  <c r="F771"/>
  <c r="E771"/>
  <c r="E770" s="1"/>
  <c r="G770"/>
  <c r="G738" s="1"/>
  <c r="F770"/>
  <c r="G756"/>
  <c r="F756"/>
  <c r="E756"/>
  <c r="G755"/>
  <c r="F755"/>
  <c r="E755"/>
  <c r="G739"/>
  <c r="F739"/>
  <c r="E739"/>
  <c r="H739" s="1"/>
  <c r="I738"/>
  <c r="G723"/>
  <c r="F723"/>
  <c r="E723"/>
  <c r="G708"/>
  <c r="G675" s="1"/>
  <c r="F708"/>
  <c r="E708"/>
  <c r="G693"/>
  <c r="F693"/>
  <c r="F675" s="1"/>
  <c r="E693"/>
  <c r="G676"/>
  <c r="F676"/>
  <c r="E676"/>
  <c r="H676" s="1"/>
  <c r="I675"/>
  <c r="G661"/>
  <c r="F661"/>
  <c r="E661"/>
  <c r="G660"/>
  <c r="F660"/>
  <c r="E660"/>
  <c r="G643"/>
  <c r="F643"/>
  <c r="E643"/>
  <c r="H643" s="1"/>
  <c r="G628"/>
  <c r="F628"/>
  <c r="E628"/>
  <c r="G613"/>
  <c r="F613"/>
  <c r="E613"/>
  <c r="G598"/>
  <c r="F598"/>
  <c r="E598"/>
  <c r="G583"/>
  <c r="F583"/>
  <c r="E583"/>
  <c r="H583" s="1"/>
  <c r="G568"/>
  <c r="F568"/>
  <c r="E568"/>
  <c r="G553"/>
  <c r="F553"/>
  <c r="E553"/>
  <c r="I552"/>
  <c r="G552"/>
  <c r="F552"/>
  <c r="G537"/>
  <c r="F537"/>
  <c r="E537"/>
  <c r="H537" s="1"/>
  <c r="G522"/>
  <c r="F522"/>
  <c r="E522"/>
  <c r="G506"/>
  <c r="F506"/>
  <c r="E506"/>
  <c r="G492"/>
  <c r="F492"/>
  <c r="E492"/>
  <c r="G491"/>
  <c r="F491"/>
  <c r="E491"/>
  <c r="H491" s="1"/>
  <c r="G476"/>
  <c r="F476"/>
  <c r="E476"/>
  <c r="G460"/>
  <c r="F460"/>
  <c r="E460"/>
  <c r="G446"/>
  <c r="F446"/>
  <c r="E446"/>
  <c r="G445"/>
  <c r="F445"/>
  <c r="E445"/>
  <c r="H445" s="1"/>
  <c r="G430"/>
  <c r="F430"/>
  <c r="F429" s="1"/>
  <c r="E430"/>
  <c r="I429"/>
  <c r="E429"/>
  <c r="G413"/>
  <c r="F413"/>
  <c r="E413"/>
  <c r="G396"/>
  <c r="F396"/>
  <c r="E396"/>
  <c r="G380"/>
  <c r="F380"/>
  <c r="E380"/>
  <c r="G364"/>
  <c r="F364"/>
  <c r="E364"/>
  <c r="H364" s="1"/>
  <c r="G348"/>
  <c r="F348"/>
  <c r="E348"/>
  <c r="G332"/>
  <c r="G299" s="1"/>
  <c r="F332"/>
  <c r="E332"/>
  <c r="G316"/>
  <c r="F316"/>
  <c r="F299" s="1"/>
  <c r="E316"/>
  <c r="G300"/>
  <c r="F300"/>
  <c r="E300"/>
  <c r="H300" s="1"/>
  <c r="I299"/>
  <c r="G283"/>
  <c r="F283"/>
  <c r="E283"/>
  <c r="G267"/>
  <c r="F267"/>
  <c r="E267"/>
  <c r="G250"/>
  <c r="F250"/>
  <c r="E250"/>
  <c r="H250" s="1"/>
  <c r="G235"/>
  <c r="F235"/>
  <c r="E235"/>
  <c r="G220"/>
  <c r="F220"/>
  <c r="E220"/>
  <c r="I219"/>
  <c r="G219"/>
  <c r="E219"/>
  <c r="G204"/>
  <c r="F204"/>
  <c r="E204"/>
  <c r="H204" s="1"/>
  <c r="G188"/>
  <c r="F188"/>
  <c r="E188"/>
  <c r="G172"/>
  <c r="G140" s="1"/>
  <c r="F172"/>
  <c r="E172"/>
  <c r="G157"/>
  <c r="F157"/>
  <c r="E157"/>
  <c r="G156"/>
  <c r="F156"/>
  <c r="E156"/>
  <c r="H156" s="1"/>
  <c r="G141"/>
  <c r="F141"/>
  <c r="E141"/>
  <c r="I140"/>
  <c r="F140"/>
  <c r="G123"/>
  <c r="F123"/>
  <c r="E123"/>
  <c r="G107"/>
  <c r="F107"/>
  <c r="E107"/>
  <c r="G91"/>
  <c r="F91"/>
  <c r="E91"/>
  <c r="H91" s="1"/>
  <c r="G76"/>
  <c r="F76"/>
  <c r="E76"/>
  <c r="H75"/>
  <c r="G75"/>
  <c r="F75"/>
  <c r="E75"/>
  <c r="G59"/>
  <c r="F59"/>
  <c r="E59"/>
  <c r="G42"/>
  <c r="F42"/>
  <c r="E42"/>
  <c r="G27"/>
  <c r="F27"/>
  <c r="E27"/>
  <c r="E26" s="1"/>
  <c r="H26" s="1"/>
  <c r="G26"/>
  <c r="F26"/>
  <c r="G10"/>
  <c r="F10"/>
  <c r="E10"/>
  <c r="E9" s="1"/>
  <c r="G9"/>
  <c r="F9"/>
  <c r="F8" s="1"/>
  <c r="I8"/>
  <c r="G8"/>
  <c r="A3"/>
  <c r="G125" i="20"/>
  <c r="J125" s="1"/>
  <c r="G124"/>
  <c r="K124" s="1"/>
  <c r="K123"/>
  <c r="J123"/>
  <c r="G123"/>
  <c r="K122"/>
  <c r="J122"/>
  <c r="K121"/>
  <c r="J121"/>
  <c r="K120"/>
  <c r="J120"/>
  <c r="J119"/>
  <c r="G119"/>
  <c r="G118"/>
  <c r="J118" s="1"/>
  <c r="G117"/>
  <c r="J117" s="1"/>
  <c r="J116"/>
  <c r="G116"/>
  <c r="G115"/>
  <c r="J115" s="1"/>
  <c r="J114"/>
  <c r="G114"/>
  <c r="G113"/>
  <c r="J113" s="1"/>
  <c r="J112"/>
  <c r="G112"/>
  <c r="G111"/>
  <c r="J111" s="1"/>
  <c r="J110"/>
  <c r="G110"/>
  <c r="G109"/>
  <c r="J109" s="1"/>
  <c r="J108"/>
  <c r="G108"/>
  <c r="G107"/>
  <c r="J107" s="1"/>
  <c r="J106"/>
  <c r="G106"/>
  <c r="G105"/>
  <c r="J105" s="1"/>
  <c r="J104"/>
  <c r="G104"/>
  <c r="G103"/>
  <c r="J103" s="1"/>
  <c r="J102"/>
  <c r="G102"/>
  <c r="I101"/>
  <c r="J101" s="1"/>
  <c r="G101"/>
  <c r="G100" s="1"/>
  <c r="I100"/>
  <c r="H100"/>
  <c r="G99"/>
  <c r="K99" s="1"/>
  <c r="K98"/>
  <c r="G98"/>
  <c r="J97"/>
  <c r="J96" s="1"/>
  <c r="G97"/>
  <c r="K97" s="1"/>
  <c r="I96"/>
  <c r="H96"/>
  <c r="G95"/>
  <c r="J95" s="1"/>
  <c r="J94"/>
  <c r="G94"/>
  <c r="G93"/>
  <c r="J93" s="1"/>
  <c r="J92"/>
  <c r="G92"/>
  <c r="G91"/>
  <c r="J91" s="1"/>
  <c r="J90"/>
  <c r="G90"/>
  <c r="G89"/>
  <c r="J89" s="1"/>
  <c r="I88"/>
  <c r="H88"/>
  <c r="G88"/>
  <c r="J87"/>
  <c r="G87"/>
  <c r="G86"/>
  <c r="J86" s="1"/>
  <c r="J85"/>
  <c r="G85"/>
  <c r="G84"/>
  <c r="J84" s="1"/>
  <c r="J83"/>
  <c r="G83"/>
  <c r="G82"/>
  <c r="J82" s="1"/>
  <c r="J81"/>
  <c r="G81"/>
  <c r="I80"/>
  <c r="H80"/>
  <c r="G79"/>
  <c r="J79" s="1"/>
  <c r="J78"/>
  <c r="G78"/>
  <c r="G77"/>
  <c r="J77" s="1"/>
  <c r="J76"/>
  <c r="G76"/>
  <c r="G75"/>
  <c r="J75" s="1"/>
  <c r="J74" s="1"/>
  <c r="I74"/>
  <c r="H74"/>
  <c r="G74"/>
  <c r="J73"/>
  <c r="G73"/>
  <c r="G72"/>
  <c r="J72" s="1"/>
  <c r="J71"/>
  <c r="G71"/>
  <c r="G70"/>
  <c r="J70" s="1"/>
  <c r="J69" s="1"/>
  <c r="I69"/>
  <c r="H69"/>
  <c r="G69"/>
  <c r="J68"/>
  <c r="G68"/>
  <c r="G67"/>
  <c r="J67" s="1"/>
  <c r="J66"/>
  <c r="G66"/>
  <c r="G65"/>
  <c r="J65" s="1"/>
  <c r="J64"/>
  <c r="G64"/>
  <c r="G63"/>
  <c r="J63" s="1"/>
  <c r="J62"/>
  <c r="G62"/>
  <c r="I61"/>
  <c r="H61"/>
  <c r="G60"/>
  <c r="J60" s="1"/>
  <c r="J59"/>
  <c r="G59"/>
  <c r="G58"/>
  <c r="J58" s="1"/>
  <c r="J57"/>
  <c r="G57"/>
  <c r="I56"/>
  <c r="H56"/>
  <c r="G55"/>
  <c r="J55" s="1"/>
  <c r="J54"/>
  <c r="G54"/>
  <c r="G53"/>
  <c r="J53" s="1"/>
  <c r="J52"/>
  <c r="G52"/>
  <c r="G51"/>
  <c r="J51" s="1"/>
  <c r="J50"/>
  <c r="G50"/>
  <c r="G49"/>
  <c r="J49" s="1"/>
  <c r="J48"/>
  <c r="J47" s="1"/>
  <c r="G48"/>
  <c r="I47"/>
  <c r="H47"/>
  <c r="G46"/>
  <c r="J46" s="1"/>
  <c r="J45"/>
  <c r="G45"/>
  <c r="G44"/>
  <c r="J44" s="1"/>
  <c r="J43"/>
  <c r="G43"/>
  <c r="G42"/>
  <c r="J42" s="1"/>
  <c r="J41"/>
  <c r="G41"/>
  <c r="G40"/>
  <c r="J40" s="1"/>
  <c r="J39"/>
  <c r="G39"/>
  <c r="I38"/>
  <c r="H38"/>
  <c r="G37"/>
  <c r="J37" s="1"/>
  <c r="J36"/>
  <c r="G36"/>
  <c r="G35"/>
  <c r="J35" s="1"/>
  <c r="J34"/>
  <c r="G34"/>
  <c r="G33"/>
  <c r="J33" s="1"/>
  <c r="J32"/>
  <c r="G32"/>
  <c r="G31"/>
  <c r="J31" s="1"/>
  <c r="J30"/>
  <c r="J29" s="1"/>
  <c r="G30"/>
  <c r="I29"/>
  <c r="H29"/>
  <c r="G28"/>
  <c r="J28" s="1"/>
  <c r="J27"/>
  <c r="G27"/>
  <c r="G26"/>
  <c r="J26" s="1"/>
  <c r="J25"/>
  <c r="G25"/>
  <c r="G24"/>
  <c r="J24" s="1"/>
  <c r="I23"/>
  <c r="H23"/>
  <c r="G23"/>
  <c r="J22"/>
  <c r="G22"/>
  <c r="G21"/>
  <c r="J21" s="1"/>
  <c r="J20"/>
  <c r="G20"/>
  <c r="G19"/>
  <c r="J19" s="1"/>
  <c r="J18"/>
  <c r="J17" s="1"/>
  <c r="G18"/>
  <c r="I17"/>
  <c r="H17"/>
  <c r="G16"/>
  <c r="J16" s="1"/>
  <c r="G15"/>
  <c r="J15" s="1"/>
  <c r="L14"/>
  <c r="G14"/>
  <c r="J14" s="1"/>
  <c r="L13"/>
  <c r="J13"/>
  <c r="G13"/>
  <c r="G12"/>
  <c r="J12" s="1"/>
  <c r="G11"/>
  <c r="J11" s="1"/>
  <c r="L10"/>
  <c r="G10"/>
  <c r="J10" s="1"/>
  <c r="L9"/>
  <c r="J9"/>
  <c r="J8" s="1"/>
  <c r="G9"/>
  <c r="I8"/>
  <c r="H8"/>
  <c r="H7" s="1"/>
  <c r="H6" s="1"/>
  <c r="I7"/>
  <c r="E6"/>
  <c r="A3"/>
  <c r="F32" i="19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F25"/>
  <c r="E25"/>
  <c r="D25"/>
  <c r="C25"/>
  <c r="F24"/>
  <c r="E24"/>
  <c r="D24"/>
  <c r="C24"/>
  <c r="F23"/>
  <c r="E23"/>
  <c r="D23"/>
  <c r="C23"/>
  <c r="D22" s="1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D8" s="1"/>
  <c r="D6" s="1"/>
  <c r="C9"/>
  <c r="E8"/>
  <c r="C8"/>
  <c r="C7" s="1"/>
  <c r="E6"/>
  <c r="C6"/>
  <c r="C4" s="1"/>
  <c r="B17" i="18"/>
  <c r="N16"/>
  <c r="M16"/>
  <c r="L16"/>
  <c r="K16"/>
  <c r="J16"/>
  <c r="I16"/>
  <c r="H16"/>
  <c r="G16"/>
  <c r="F16"/>
  <c r="E16"/>
  <c r="D16"/>
  <c r="C16"/>
  <c r="B16"/>
  <c r="N15"/>
  <c r="M15"/>
  <c r="L15"/>
  <c r="K15"/>
  <c r="J15"/>
  <c r="I15"/>
  <c r="H15"/>
  <c r="G15"/>
  <c r="F15"/>
  <c r="E15"/>
  <c r="D15"/>
  <c r="C15"/>
  <c r="B15" s="1"/>
  <c r="O14"/>
  <c r="N14"/>
  <c r="M14"/>
  <c r="L14"/>
  <c r="K14"/>
  <c r="J14"/>
  <c r="I14"/>
  <c r="H14"/>
  <c r="G14"/>
  <c r="F14"/>
  <c r="E14"/>
  <c r="D14"/>
  <c r="C14"/>
  <c r="B14" s="1"/>
  <c r="N13"/>
  <c r="M13"/>
  <c r="L13"/>
  <c r="K13"/>
  <c r="J13"/>
  <c r="I13"/>
  <c r="H13"/>
  <c r="G13"/>
  <c r="F13"/>
  <c r="E13"/>
  <c r="D13"/>
  <c r="C13"/>
  <c r="B13" s="1"/>
  <c r="N12"/>
  <c r="M12"/>
  <c r="L12"/>
  <c r="K12"/>
  <c r="J12"/>
  <c r="I12"/>
  <c r="H12"/>
  <c r="G12"/>
  <c r="F12"/>
  <c r="E12"/>
  <c r="D12"/>
  <c r="C12"/>
  <c r="B12" s="1"/>
  <c r="B11"/>
  <c r="B10"/>
  <c r="N9"/>
  <c r="M9"/>
  <c r="L9"/>
  <c r="K9"/>
  <c r="J9"/>
  <c r="I9"/>
  <c r="H9"/>
  <c r="G9"/>
  <c r="F9"/>
  <c r="E9"/>
  <c r="D9"/>
  <c r="C9"/>
  <c r="O8"/>
  <c r="O7" s="1"/>
  <c r="B8"/>
  <c r="N7"/>
  <c r="L7"/>
  <c r="J7"/>
  <c r="H7"/>
  <c r="F7"/>
  <c r="D7"/>
  <c r="A3"/>
  <c r="H11" i="17"/>
  <c r="H10"/>
  <c r="G8"/>
  <c r="F8"/>
  <c r="E8"/>
  <c r="D8"/>
  <c r="C8"/>
  <c r="B8"/>
  <c r="H8" s="1"/>
  <c r="A3"/>
  <c r="L108" i="16"/>
  <c r="L107"/>
  <c r="L106"/>
  <c r="L105"/>
  <c r="L104"/>
  <c r="L103"/>
  <c r="L102"/>
  <c r="L101"/>
  <c r="L100"/>
  <c r="L99"/>
  <c r="K98"/>
  <c r="J98"/>
  <c r="I98"/>
  <c r="H98"/>
  <c r="G98"/>
  <c r="F98"/>
  <c r="E98"/>
  <c r="L98" s="1"/>
  <c r="L97"/>
  <c r="L96"/>
  <c r="L95"/>
  <c r="L94"/>
  <c r="L93"/>
  <c r="L90" s="1"/>
  <c r="L92"/>
  <c r="L91"/>
  <c r="K90"/>
  <c r="J90"/>
  <c r="I90"/>
  <c r="H90"/>
  <c r="G90"/>
  <c r="F90"/>
  <c r="E90"/>
  <c r="L89"/>
  <c r="L88"/>
  <c r="L87"/>
  <c r="L86"/>
  <c r="L85"/>
  <c r="L84"/>
  <c r="L83"/>
  <c r="L82" s="1"/>
  <c r="K82"/>
  <c r="J82"/>
  <c r="I82"/>
  <c r="H82"/>
  <c r="G82"/>
  <c r="F82"/>
  <c r="E82"/>
  <c r="L81"/>
  <c r="L80"/>
  <c r="L79"/>
  <c r="L78"/>
  <c r="L77"/>
  <c r="L76"/>
  <c r="K76"/>
  <c r="J76"/>
  <c r="I76"/>
  <c r="H76"/>
  <c r="G76"/>
  <c r="F76"/>
  <c r="E76"/>
  <c r="L75"/>
  <c r="L74"/>
  <c r="L73"/>
  <c r="L72"/>
  <c r="L71"/>
  <c r="K71"/>
  <c r="J71"/>
  <c r="I71"/>
  <c r="H71"/>
  <c r="G71"/>
  <c r="F71"/>
  <c r="E71"/>
  <c r="L70"/>
  <c r="L69"/>
  <c r="L68"/>
  <c r="L67"/>
  <c r="L66"/>
  <c r="L65"/>
  <c r="L64"/>
  <c r="L63" s="1"/>
  <c r="K63"/>
  <c r="J63"/>
  <c r="I63"/>
  <c r="H63"/>
  <c r="G63"/>
  <c r="F63"/>
  <c r="E63"/>
  <c r="L62"/>
  <c r="L61"/>
  <c r="L60"/>
  <c r="L59"/>
  <c r="L58" s="1"/>
  <c r="K58"/>
  <c r="J58"/>
  <c r="I58"/>
  <c r="H58"/>
  <c r="G58"/>
  <c r="F58"/>
  <c r="E58"/>
  <c r="L57"/>
  <c r="L56"/>
  <c r="L55"/>
  <c r="L54"/>
  <c r="L53"/>
  <c r="L52"/>
  <c r="L51"/>
  <c r="L50"/>
  <c r="L49" s="1"/>
  <c r="K49"/>
  <c r="J49"/>
  <c r="I49"/>
  <c r="H49"/>
  <c r="G49"/>
  <c r="F49"/>
  <c r="E49"/>
  <c r="L48"/>
  <c r="L47"/>
  <c r="L46"/>
  <c r="L45"/>
  <c r="L44"/>
  <c r="L43"/>
  <c r="L42"/>
  <c r="L41"/>
  <c r="L40" s="1"/>
  <c r="K40"/>
  <c r="J40"/>
  <c r="I40"/>
  <c r="H40"/>
  <c r="G40"/>
  <c r="F40"/>
  <c r="E40"/>
  <c r="L39"/>
  <c r="L38"/>
  <c r="L37"/>
  <c r="L36"/>
  <c r="L35"/>
  <c r="L34"/>
  <c r="L33"/>
  <c r="L32"/>
  <c r="L31" s="1"/>
  <c r="K31"/>
  <c r="J31"/>
  <c r="I31"/>
  <c r="H31"/>
  <c r="G31"/>
  <c r="F31"/>
  <c r="E31"/>
  <c r="L30"/>
  <c r="L29"/>
  <c r="L28"/>
  <c r="L27"/>
  <c r="L26"/>
  <c r="L25"/>
  <c r="K25"/>
  <c r="J25"/>
  <c r="J9" s="1"/>
  <c r="I25"/>
  <c r="H25"/>
  <c r="G25"/>
  <c r="F25"/>
  <c r="F9" s="1"/>
  <c r="E25"/>
  <c r="L24"/>
  <c r="L23"/>
  <c r="L22"/>
  <c r="L21"/>
  <c r="L20"/>
  <c r="L19" s="1"/>
  <c r="K19"/>
  <c r="J19"/>
  <c r="I19"/>
  <c r="H19"/>
  <c r="G19"/>
  <c r="F19"/>
  <c r="E19"/>
  <c r="L18"/>
  <c r="L17"/>
  <c r="L16"/>
  <c r="L15"/>
  <c r="L14"/>
  <c r="L13"/>
  <c r="L12"/>
  <c r="L11"/>
  <c r="L10" s="1"/>
  <c r="K10"/>
  <c r="J10"/>
  <c r="I10"/>
  <c r="H10"/>
  <c r="G10"/>
  <c r="F10"/>
  <c r="E10"/>
  <c r="K9"/>
  <c r="I9"/>
  <c r="H9"/>
  <c r="G9"/>
  <c r="E9"/>
  <c r="A3"/>
  <c r="D45" i="15"/>
  <c r="D38"/>
  <c r="D30"/>
  <c r="D26"/>
  <c r="D22"/>
  <c r="D19"/>
  <c r="D15"/>
  <c r="D12"/>
  <c r="D11" s="1"/>
  <c r="D6" s="1"/>
  <c r="D7"/>
  <c r="H770" i="21" l="1"/>
  <c r="E738"/>
  <c r="H1119"/>
  <c r="E1102"/>
  <c r="G7" i="18"/>
  <c r="K7"/>
  <c r="C22" i="19"/>
  <c r="H1246" i="21"/>
  <c r="B9" i="18"/>
  <c r="H42" i="21"/>
  <c r="H107"/>
  <c r="F219"/>
  <c r="H267"/>
  <c r="H316"/>
  <c r="H380"/>
  <c r="H598"/>
  <c r="H660"/>
  <c r="H693"/>
  <c r="H755"/>
  <c r="H785"/>
  <c r="H831"/>
  <c r="H847"/>
  <c r="H880"/>
  <c r="H927"/>
  <c r="H1005"/>
  <c r="I1259"/>
  <c r="E7" i="18"/>
  <c r="I7"/>
  <c r="M7"/>
  <c r="H59" i="21"/>
  <c r="H123"/>
  <c r="H172"/>
  <c r="H220"/>
  <c r="H283"/>
  <c r="H332"/>
  <c r="H396"/>
  <c r="H430"/>
  <c r="H460"/>
  <c r="H506"/>
  <c r="H553"/>
  <c r="H613"/>
  <c r="H708"/>
  <c r="H800"/>
  <c r="G846"/>
  <c r="H862"/>
  <c r="H895"/>
  <c r="G910"/>
  <c r="H1103"/>
  <c r="H1232"/>
  <c r="H1236"/>
  <c r="H1240"/>
  <c r="H1244"/>
  <c r="H1252"/>
  <c r="H1256"/>
  <c r="C14" i="22"/>
  <c r="D4" i="19"/>
  <c r="D7"/>
  <c r="E140" i="21"/>
  <c r="H141"/>
  <c r="H188"/>
  <c r="H235"/>
  <c r="H348"/>
  <c r="H413"/>
  <c r="G429"/>
  <c r="H476"/>
  <c r="H522"/>
  <c r="H568"/>
  <c r="H628"/>
  <c r="H723"/>
  <c r="H863"/>
  <c r="E910"/>
  <c r="H1037"/>
  <c r="H988" s="1"/>
  <c r="H1185"/>
  <c r="H1102" s="1"/>
  <c r="H1220"/>
  <c r="H1217" s="1"/>
  <c r="H1233"/>
  <c r="H1237"/>
  <c r="H1241"/>
  <c r="H1245"/>
  <c r="E7" i="22"/>
  <c r="E14" s="1"/>
  <c r="H299" i="21"/>
  <c r="H675"/>
  <c r="H910"/>
  <c r="H1226"/>
  <c r="H1249"/>
  <c r="I1249"/>
  <c r="E1226"/>
  <c r="I1226" s="1"/>
  <c r="H738"/>
  <c r="H846"/>
  <c r="H9"/>
  <c r="H8" s="1"/>
  <c r="E8"/>
  <c r="G7"/>
  <c r="E299"/>
  <c r="E552"/>
  <c r="E675"/>
  <c r="F988"/>
  <c r="F7" s="1"/>
  <c r="F6" s="1"/>
  <c r="G1217"/>
  <c r="I1217" s="1"/>
  <c r="F1226"/>
  <c r="I1227"/>
  <c r="I1246"/>
  <c r="E846"/>
  <c r="I846" s="1"/>
  <c r="I1252"/>
  <c r="I1256"/>
  <c r="K100" i="20"/>
  <c r="J88"/>
  <c r="J100"/>
  <c r="J23"/>
  <c r="J7" s="1"/>
  <c r="J6" s="1"/>
  <c r="J38"/>
  <c r="J56"/>
  <c r="J61"/>
  <c r="J80"/>
  <c r="I6"/>
  <c r="G8"/>
  <c r="L11"/>
  <c r="L15"/>
  <c r="G17"/>
  <c r="G29"/>
  <c r="G38"/>
  <c r="G47"/>
  <c r="G56"/>
  <c r="G61"/>
  <c r="G80"/>
  <c r="G96"/>
  <c r="K96" s="1"/>
  <c r="K101"/>
  <c r="J124"/>
  <c r="K125"/>
  <c r="L12"/>
  <c r="L16"/>
  <c r="K118"/>
  <c r="F8" i="19"/>
  <c r="F6" s="1"/>
  <c r="E4"/>
  <c r="F4" s="1"/>
  <c r="E7"/>
  <c r="F7" s="1"/>
  <c r="E22"/>
  <c r="F22" s="1"/>
  <c r="B7" i="18"/>
  <c r="L9" i="16"/>
  <c r="E97" i="9"/>
  <c r="C97"/>
  <c r="C105"/>
  <c r="F49" i="8"/>
  <c r="E49"/>
  <c r="E50"/>
  <c r="E90"/>
  <c r="H552" i="21" l="1"/>
  <c r="H429"/>
  <c r="H7" s="1"/>
  <c r="H6" s="1"/>
  <c r="H219"/>
  <c r="H140"/>
  <c r="I7"/>
  <c r="G6"/>
  <c r="I6" s="1"/>
  <c r="E7"/>
  <c r="E6" s="1"/>
  <c r="G7" i="20"/>
  <c r="F93" i="8"/>
  <c r="F92"/>
  <c r="E93"/>
  <c r="E92"/>
  <c r="K92"/>
  <c r="K93"/>
  <c r="D92"/>
  <c r="D93"/>
  <c r="C54" i="12"/>
  <c r="D54"/>
  <c r="E54"/>
  <c r="G54"/>
  <c r="I54"/>
  <c r="K54"/>
  <c r="M54"/>
  <c r="O54"/>
  <c r="Q54"/>
  <c r="C55"/>
  <c r="D55"/>
  <c r="E55"/>
  <c r="G55"/>
  <c r="H55" s="1"/>
  <c r="I55"/>
  <c r="K55"/>
  <c r="M55"/>
  <c r="O55"/>
  <c r="P55" s="1"/>
  <c r="Q55"/>
  <c r="C56"/>
  <c r="D56"/>
  <c r="E56"/>
  <c r="G56"/>
  <c r="I56"/>
  <c r="K56"/>
  <c r="M56"/>
  <c r="O56"/>
  <c r="Q56"/>
  <c r="G6" i="20" l="1"/>
  <c r="K6" s="1"/>
  <c r="K7"/>
  <c r="P54" i="12"/>
  <c r="H54"/>
  <c r="F56"/>
  <c r="F55"/>
  <c r="P56"/>
  <c r="H56"/>
  <c r="F54"/>
  <c r="L56"/>
  <c r="L55"/>
  <c r="L54"/>
  <c r="R56"/>
  <c r="R55"/>
  <c r="R54"/>
  <c r="N56"/>
  <c r="J56"/>
  <c r="N55"/>
  <c r="J55"/>
  <c r="N54"/>
  <c r="J54"/>
  <c r="L10" i="7" l="1"/>
  <c r="P29" i="4"/>
  <c r="N29"/>
  <c r="L29"/>
  <c r="J29"/>
  <c r="H29"/>
  <c r="F29"/>
  <c r="C29"/>
  <c r="D29"/>
  <c r="B29"/>
  <c r="P83"/>
  <c r="N83"/>
  <c r="L83"/>
  <c r="J83"/>
  <c r="E83"/>
  <c r="F83"/>
  <c r="G83"/>
  <c r="H83"/>
  <c r="C83"/>
  <c r="D83"/>
  <c r="B83"/>
  <c r="K80"/>
  <c r="L80"/>
  <c r="M80"/>
  <c r="N80"/>
  <c r="O80"/>
  <c r="P80"/>
  <c r="Q80"/>
  <c r="C80"/>
  <c r="B80"/>
  <c r="H7" i="10" l="1"/>
  <c r="H57" i="3" l="1"/>
  <c r="J53"/>
  <c r="J52"/>
  <c r="H52"/>
  <c r="J57" l="1"/>
  <c r="H34"/>
  <c r="J34"/>
  <c r="K95" i="8" l="1"/>
  <c r="K110"/>
  <c r="K115"/>
  <c r="X10" i="11"/>
  <c r="X15"/>
  <c r="X19"/>
  <c r="X24"/>
  <c r="X28"/>
  <c r="X32"/>
  <c r="AA10"/>
  <c r="AA15"/>
  <c r="AA19"/>
  <c r="AA24"/>
  <c r="AA28"/>
  <c r="AA32"/>
  <c r="Z10"/>
  <c r="Z15"/>
  <c r="Z19"/>
  <c r="Z24"/>
  <c r="Z28"/>
  <c r="Z32"/>
  <c r="U10"/>
  <c r="U15"/>
  <c r="U19"/>
  <c r="U24"/>
  <c r="U28"/>
  <c r="U32"/>
  <c r="T10"/>
  <c r="T15"/>
  <c r="T19"/>
  <c r="T24"/>
  <c r="T28"/>
  <c r="T32"/>
  <c r="D82" i="4" l="1"/>
  <c r="F82"/>
  <c r="H82"/>
  <c r="J82"/>
  <c r="D78"/>
  <c r="F78"/>
  <c r="H78"/>
  <c r="J78"/>
  <c r="K123" i="9" l="1"/>
  <c r="I123"/>
  <c r="I79" i="12" s="1"/>
  <c r="G123" i="9"/>
  <c r="G79" i="12" s="1"/>
  <c r="E123" i="9"/>
  <c r="E79" i="12" s="1"/>
  <c r="D123" i="9"/>
  <c r="D79" i="12" s="1"/>
  <c r="C123" i="9"/>
  <c r="C79" i="12" s="1"/>
  <c r="K76" i="9"/>
  <c r="K78" i="12" s="1"/>
  <c r="I76" i="9"/>
  <c r="I78" i="12" s="1"/>
  <c r="G76" i="9"/>
  <c r="G78" i="12" s="1"/>
  <c r="D76" i="9"/>
  <c r="D78" i="12" s="1"/>
  <c r="E76" i="9"/>
  <c r="C76"/>
  <c r="C78" i="12" s="1"/>
  <c r="K79" l="1"/>
  <c r="L79" s="1"/>
  <c r="L123" i="9"/>
  <c r="F76"/>
  <c r="L78" i="12"/>
  <c r="H76" i="9"/>
  <c r="E78" i="12"/>
  <c r="F78" s="1"/>
  <c r="J76" i="9"/>
  <c r="L76"/>
  <c r="J78" i="12"/>
  <c r="H78"/>
  <c r="F79"/>
  <c r="J79"/>
  <c r="H79"/>
  <c r="B53" i="3" l="1"/>
  <c r="C53"/>
  <c r="L82" i="4"/>
  <c r="L78"/>
  <c r="C52" i="3" l="1"/>
  <c r="B51"/>
  <c r="B15" s="1"/>
  <c r="C51"/>
  <c r="C65"/>
  <c r="C34" s="1"/>
  <c r="B65"/>
  <c r="F34"/>
  <c r="D34"/>
  <c r="B34"/>
  <c r="J15"/>
  <c r="H15"/>
  <c r="F15"/>
  <c r="C15"/>
  <c r="D15"/>
  <c r="J91"/>
  <c r="H91"/>
  <c r="F91"/>
  <c r="C91"/>
  <c r="D91"/>
  <c r="B91"/>
  <c r="L88"/>
  <c r="K88"/>
  <c r="I88"/>
  <c r="I78" i="4" s="1"/>
  <c r="G88" i="3"/>
  <c r="G78" i="4" s="1"/>
  <c r="E88" i="3"/>
  <c r="E78" i="4" s="1"/>
  <c r="M88" i="3" l="1"/>
  <c r="M76" i="9"/>
  <c r="N88" i="3"/>
  <c r="P88"/>
  <c r="I91"/>
  <c r="L90"/>
  <c r="K90"/>
  <c r="I90"/>
  <c r="I82" i="4" s="1"/>
  <c r="G90" i="3"/>
  <c r="G82" i="4" s="1"/>
  <c r="E90" i="3"/>
  <c r="E82" i="4" s="1"/>
  <c r="M123" i="9" l="1"/>
  <c r="L91" i="3"/>
  <c r="M91" s="1"/>
  <c r="M78" i="12"/>
  <c r="N78" s="1"/>
  <c r="O76" i="9"/>
  <c r="Q76"/>
  <c r="N76"/>
  <c r="O88" i="3"/>
  <c r="Q88"/>
  <c r="K91"/>
  <c r="E91"/>
  <c r="G91"/>
  <c r="P90"/>
  <c r="P91" s="1"/>
  <c r="M90"/>
  <c r="N90"/>
  <c r="N91" s="1"/>
  <c r="M79" i="12" l="1"/>
  <c r="N79" s="1"/>
  <c r="Q123" i="9"/>
  <c r="O123"/>
  <c r="N123"/>
  <c r="O78" i="12"/>
  <c r="P76" i="9"/>
  <c r="P78" i="12" s="1"/>
  <c r="Q78"/>
  <c r="R76" i="9"/>
  <c r="R78" i="12" s="1"/>
  <c r="Q91" i="3"/>
  <c r="Q90"/>
  <c r="O90"/>
  <c r="O91"/>
  <c r="O79" i="12" l="1"/>
  <c r="P123" i="9"/>
  <c r="P79" i="12" s="1"/>
  <c r="Q79"/>
  <c r="R123" i="9"/>
  <c r="R79" i="12" s="1"/>
  <c r="D19" i="5"/>
  <c r="H70" i="10" l="1"/>
  <c r="H69"/>
  <c r="H68"/>
  <c r="H67"/>
  <c r="H66"/>
  <c r="H65"/>
  <c r="H64"/>
  <c r="H63"/>
  <c r="H62"/>
  <c r="H61"/>
  <c r="H60"/>
  <c r="H59"/>
  <c r="H58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G70"/>
  <c r="G69"/>
  <c r="G68"/>
  <c r="G67"/>
  <c r="G66"/>
  <c r="G65"/>
  <c r="G64"/>
  <c r="G63"/>
  <c r="G62"/>
  <c r="G61"/>
  <c r="G60"/>
  <c r="G59"/>
  <c r="G58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70"/>
  <c r="F69"/>
  <c r="F68"/>
  <c r="F67"/>
  <c r="F66"/>
  <c r="F65"/>
  <c r="F64"/>
  <c r="F63"/>
  <c r="F62"/>
  <c r="F61"/>
  <c r="F60"/>
  <c r="F59"/>
  <c r="F58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D69"/>
  <c r="D68"/>
  <c r="D67"/>
  <c r="D66"/>
  <c r="D65"/>
  <c r="D64"/>
  <c r="D63"/>
  <c r="D62"/>
  <c r="D61"/>
  <c r="D60"/>
  <c r="D59"/>
  <c r="D58"/>
  <c r="D57"/>
  <c r="D56"/>
  <c r="D54"/>
  <c r="D53"/>
  <c r="D51"/>
  <c r="D50"/>
  <c r="D49"/>
  <c r="D48"/>
  <c r="D52"/>
  <c r="D47"/>
  <c r="D46"/>
  <c r="D45"/>
  <c r="D44"/>
  <c r="D43"/>
  <c r="D42"/>
  <c r="D41"/>
  <c r="D40"/>
  <c r="D39"/>
  <c r="D38"/>
  <c r="D37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70"/>
  <c r="D55"/>
  <c r="A4" i="4" l="1"/>
  <c r="A5"/>
  <c r="A6"/>
  <c r="A3"/>
  <c r="A3" i="2"/>
  <c r="J42" i="13"/>
  <c r="C8" i="14"/>
  <c r="C10" s="1"/>
  <c r="K8"/>
  <c r="I8"/>
  <c r="I41" i="13" s="1"/>
  <c r="G8" i="14"/>
  <c r="G41" i="13" s="1"/>
  <c r="G115" i="9" s="1"/>
  <c r="E8" i="14"/>
  <c r="E41" i="13" s="1"/>
  <c r="D8" i="14"/>
  <c r="D10" s="1"/>
  <c r="Q7"/>
  <c r="O7"/>
  <c r="L8" l="1"/>
  <c r="L41" i="13" s="1"/>
  <c r="G42"/>
  <c r="I115" i="9"/>
  <c r="I42" i="13"/>
  <c r="H53" i="4" s="1"/>
  <c r="E42" i="13"/>
  <c r="D53" i="4" s="1"/>
  <c r="D41" i="13"/>
  <c r="K41"/>
  <c r="M41" s="1"/>
  <c r="M42" s="1"/>
  <c r="F8" i="14"/>
  <c r="F41" i="13" s="1"/>
  <c r="F42" s="1"/>
  <c r="C41"/>
  <c r="M8" i="14"/>
  <c r="O8" s="1"/>
  <c r="P8" s="1"/>
  <c r="H8"/>
  <c r="H41" i="13" s="1"/>
  <c r="J8" i="14"/>
  <c r="L10"/>
  <c r="E10"/>
  <c r="F10" s="1"/>
  <c r="I10"/>
  <c r="G10"/>
  <c r="H10" s="1"/>
  <c r="K10"/>
  <c r="Q41" i="13" l="1"/>
  <c r="Q42" s="1"/>
  <c r="J10" i="14"/>
  <c r="J41" i="13"/>
  <c r="O41"/>
  <c r="O42" s="1"/>
  <c r="K115" i="9"/>
  <c r="K42" i="13"/>
  <c r="N41"/>
  <c r="D42"/>
  <c r="H42" s="1"/>
  <c r="D115" i="9"/>
  <c r="C42" i="13"/>
  <c r="C115" i="9"/>
  <c r="Q8" i="14"/>
  <c r="R8" s="1"/>
  <c r="N8"/>
  <c r="M10"/>
  <c r="N10" s="1"/>
  <c r="P41" i="13" l="1"/>
  <c r="L42"/>
  <c r="R42"/>
  <c r="R41"/>
  <c r="N42"/>
  <c r="P42"/>
  <c r="O10" i="14"/>
  <c r="P10" s="1"/>
  <c r="Q10"/>
  <c r="R10" s="1"/>
  <c r="A4" i="6" l="1"/>
  <c r="A5"/>
  <c r="A6"/>
  <c r="A3"/>
  <c r="A3" i="14" s="1"/>
  <c r="E23" i="13" l="1"/>
  <c r="F23"/>
  <c r="E28"/>
  <c r="F28"/>
  <c r="C30"/>
  <c r="D30"/>
  <c r="G30"/>
  <c r="I30"/>
  <c r="K30"/>
  <c r="C31"/>
  <c r="D31"/>
  <c r="G31"/>
  <c r="I31"/>
  <c r="K31"/>
  <c r="C32"/>
  <c r="D32"/>
  <c r="G32"/>
  <c r="I32"/>
  <c r="K32"/>
  <c r="C33"/>
  <c r="D33"/>
  <c r="G33"/>
  <c r="I33"/>
  <c r="K33"/>
  <c r="C34"/>
  <c r="D34"/>
  <c r="G34"/>
  <c r="I34"/>
  <c r="K34"/>
  <c r="K29"/>
  <c r="I29"/>
  <c r="G29"/>
  <c r="G28" s="1"/>
  <c r="D29"/>
  <c r="C29"/>
  <c r="G25"/>
  <c r="I25"/>
  <c r="K25"/>
  <c r="G26"/>
  <c r="I26"/>
  <c r="K26"/>
  <c r="G27"/>
  <c r="I27"/>
  <c r="K27"/>
  <c r="C25"/>
  <c r="D25"/>
  <c r="C26"/>
  <c r="D26"/>
  <c r="C27"/>
  <c r="D27"/>
  <c r="K24"/>
  <c r="I24"/>
  <c r="G24"/>
  <c r="D24"/>
  <c r="C24"/>
  <c r="K21"/>
  <c r="K22"/>
  <c r="I21"/>
  <c r="I22"/>
  <c r="G21"/>
  <c r="G22"/>
  <c r="G20"/>
  <c r="I20"/>
  <c r="K20"/>
  <c r="D21"/>
  <c r="D22"/>
  <c r="D20"/>
  <c r="C21"/>
  <c r="C22"/>
  <c r="C20"/>
  <c r="C28" l="1"/>
  <c r="K28"/>
  <c r="J33"/>
  <c r="K23"/>
  <c r="I23"/>
  <c r="G23"/>
  <c r="I28"/>
  <c r="D23"/>
  <c r="D28"/>
  <c r="H28" s="1"/>
  <c r="J32"/>
  <c r="J30"/>
  <c r="J31"/>
  <c r="L25"/>
  <c r="L27"/>
  <c r="H25"/>
  <c r="H27"/>
  <c r="J25"/>
  <c r="J27"/>
  <c r="H32"/>
  <c r="H30"/>
  <c r="H33"/>
  <c r="H31"/>
  <c r="L33"/>
  <c r="L32"/>
  <c r="L31"/>
  <c r="L30"/>
  <c r="J23" l="1"/>
  <c r="J28"/>
  <c r="L23"/>
  <c r="L28"/>
  <c r="H23"/>
  <c r="D19"/>
  <c r="D35" s="1"/>
  <c r="G19"/>
  <c r="G35" s="1"/>
  <c r="I19"/>
  <c r="I35" s="1"/>
  <c r="K19"/>
  <c r="K35" s="1"/>
  <c r="M22"/>
  <c r="H22"/>
  <c r="L22"/>
  <c r="L24"/>
  <c r="M26"/>
  <c r="M27"/>
  <c r="H29"/>
  <c r="M29"/>
  <c r="L29"/>
  <c r="M30"/>
  <c r="Q30" s="1"/>
  <c r="R30" s="1"/>
  <c r="M31"/>
  <c r="Q31" s="1"/>
  <c r="R31" s="1"/>
  <c r="A3"/>
  <c r="M7"/>
  <c r="O7" s="1"/>
  <c r="J35" l="1"/>
  <c r="H35"/>
  <c r="L35"/>
  <c r="L19"/>
  <c r="H19"/>
  <c r="J19"/>
  <c r="J20"/>
  <c r="M34"/>
  <c r="M28" s="1"/>
  <c r="M33"/>
  <c r="M32"/>
  <c r="Q29"/>
  <c r="R29" s="1"/>
  <c r="M25"/>
  <c r="O25" s="1"/>
  <c r="P25" s="1"/>
  <c r="H21"/>
  <c r="H24"/>
  <c r="M24"/>
  <c r="O30"/>
  <c r="P30" s="1"/>
  <c r="O31"/>
  <c r="P31" s="1"/>
  <c r="O27"/>
  <c r="P27" s="1"/>
  <c r="Q7"/>
  <c r="J21"/>
  <c r="O26"/>
  <c r="L20"/>
  <c r="H20"/>
  <c r="L21"/>
  <c r="O29"/>
  <c r="P29" s="1"/>
  <c r="O22"/>
  <c r="P22" s="1"/>
  <c r="N31"/>
  <c r="N30"/>
  <c r="N29"/>
  <c r="J29"/>
  <c r="N27"/>
  <c r="J24"/>
  <c r="N22"/>
  <c r="J22"/>
  <c r="M20"/>
  <c r="M21"/>
  <c r="N28" l="1"/>
  <c r="Q28"/>
  <c r="R28" s="1"/>
  <c r="O28"/>
  <c r="P28" s="1"/>
  <c r="M23"/>
  <c r="M19"/>
  <c r="N25"/>
  <c r="O34"/>
  <c r="Q34"/>
  <c r="R34" s="1"/>
  <c r="N32"/>
  <c r="O32"/>
  <c r="P32" s="1"/>
  <c r="Q32"/>
  <c r="R32" s="1"/>
  <c r="N33"/>
  <c r="O33"/>
  <c r="P33" s="1"/>
  <c r="Q33"/>
  <c r="R33" s="1"/>
  <c r="N24"/>
  <c r="O24"/>
  <c r="P24" s="1"/>
  <c r="O21"/>
  <c r="P21" s="1"/>
  <c r="N21"/>
  <c r="O20"/>
  <c r="N20"/>
  <c r="N23" l="1"/>
  <c r="O23"/>
  <c r="P23" s="1"/>
  <c r="M35"/>
  <c r="N19"/>
  <c r="P20"/>
  <c r="O19"/>
  <c r="A4" i="8"/>
  <c r="A5"/>
  <c r="A6"/>
  <c r="L71" i="1"/>
  <c r="A6" i="12"/>
  <c r="A5"/>
  <c r="A4"/>
  <c r="A3"/>
  <c r="N35" i="13" l="1"/>
  <c r="P19"/>
  <c r="O35"/>
  <c r="P35" l="1"/>
  <c r="Q10" i="11"/>
  <c r="Q15"/>
  <c r="Q19"/>
  <c r="Q24"/>
  <c r="Q28"/>
  <c r="Q32"/>
  <c r="R10" l="1"/>
  <c r="R15"/>
  <c r="R19"/>
  <c r="R24"/>
  <c r="R28"/>
  <c r="R32"/>
  <c r="N10"/>
  <c r="O10"/>
  <c r="N15"/>
  <c r="O15"/>
  <c r="N19"/>
  <c r="O19"/>
  <c r="N24"/>
  <c r="O24"/>
  <c r="N28"/>
  <c r="O28"/>
  <c r="N30"/>
  <c r="N32"/>
  <c r="O32"/>
  <c r="K10"/>
  <c r="L10"/>
  <c r="K15"/>
  <c r="L15"/>
  <c r="K19"/>
  <c r="L19"/>
  <c r="K24"/>
  <c r="L24"/>
  <c r="K28"/>
  <c r="L28"/>
  <c r="K32"/>
  <c r="L32"/>
  <c r="H10"/>
  <c r="I10"/>
  <c r="H15"/>
  <c r="I15"/>
  <c r="H19"/>
  <c r="I19"/>
  <c r="H24"/>
  <c r="I24"/>
  <c r="I28"/>
  <c r="H32"/>
  <c r="I32"/>
  <c r="E10"/>
  <c r="F10"/>
  <c r="E15"/>
  <c r="F15"/>
  <c r="E19"/>
  <c r="F19"/>
  <c r="E24"/>
  <c r="F24"/>
  <c r="E28"/>
  <c r="F28"/>
  <c r="E32"/>
  <c r="F32"/>
  <c r="C10"/>
  <c r="C15"/>
  <c r="C19"/>
  <c r="C24"/>
  <c r="C28"/>
  <c r="C32"/>
  <c r="B10"/>
  <c r="B15"/>
  <c r="B19"/>
  <c r="B24"/>
  <c r="B28"/>
  <c r="B32"/>
  <c r="C68" i="4" l="1"/>
  <c r="B68"/>
  <c r="W37" i="11"/>
  <c r="L37"/>
  <c r="K37"/>
  <c r="W36"/>
  <c r="W35"/>
  <c r="W34"/>
  <c r="W33"/>
  <c r="AB32"/>
  <c r="W32"/>
  <c r="Y32" s="1"/>
  <c r="V32"/>
  <c r="S32"/>
  <c r="P32"/>
  <c r="M32"/>
  <c r="J32"/>
  <c r="G32"/>
  <c r="D32"/>
  <c r="W31"/>
  <c r="W30"/>
  <c r="W29"/>
  <c r="AB28"/>
  <c r="W28"/>
  <c r="S28"/>
  <c r="P28"/>
  <c r="M28"/>
  <c r="G28"/>
  <c r="D28"/>
  <c r="W27"/>
  <c r="W26"/>
  <c r="W25"/>
  <c r="AB24"/>
  <c r="W24"/>
  <c r="S24"/>
  <c r="P24"/>
  <c r="M24"/>
  <c r="J24"/>
  <c r="G24"/>
  <c r="D24"/>
  <c r="W23"/>
  <c r="W22"/>
  <c r="W21"/>
  <c r="W20"/>
  <c r="AB19"/>
  <c r="W19"/>
  <c r="V19"/>
  <c r="S19"/>
  <c r="P19"/>
  <c r="M19"/>
  <c r="J19"/>
  <c r="G19"/>
  <c r="D19"/>
  <c r="W18"/>
  <c r="W17"/>
  <c r="W16"/>
  <c r="AB15"/>
  <c r="W15"/>
  <c r="Y15" s="1"/>
  <c r="S15"/>
  <c r="P15"/>
  <c r="M15"/>
  <c r="J15"/>
  <c r="G15"/>
  <c r="D15"/>
  <c r="W14"/>
  <c r="W13"/>
  <c r="W12"/>
  <c r="W11"/>
  <c r="AB10"/>
  <c r="W10"/>
  <c r="V10"/>
  <c r="S10"/>
  <c r="P10"/>
  <c r="M10"/>
  <c r="J10"/>
  <c r="G10"/>
  <c r="D10"/>
  <c r="W9"/>
  <c r="W8"/>
  <c r="M37" l="1"/>
  <c r="Y28"/>
  <c r="Y10"/>
  <c r="V15"/>
  <c r="Y19"/>
  <c r="Y24"/>
  <c r="V28"/>
  <c r="V24"/>
  <c r="J47" i="4"/>
  <c r="H47"/>
  <c r="F47"/>
  <c r="D47"/>
  <c r="K119" i="9" l="1"/>
  <c r="I119"/>
  <c r="G119"/>
  <c r="D119"/>
  <c r="K122"/>
  <c r="I122"/>
  <c r="G122"/>
  <c r="D122"/>
  <c r="C122"/>
  <c r="E32" i="10"/>
  <c r="E71" s="1"/>
  <c r="C53" i="4" s="1"/>
  <c r="D35" i="10"/>
  <c r="D36"/>
  <c r="G71"/>
  <c r="Q25" i="13"/>
  <c r="R25" s="1"/>
  <c r="A3" i="10"/>
  <c r="C118" i="9"/>
  <c r="D118"/>
  <c r="G118"/>
  <c r="I118"/>
  <c r="K118"/>
  <c r="C119"/>
  <c r="C120"/>
  <c r="D120"/>
  <c r="G120"/>
  <c r="I120"/>
  <c r="K120"/>
  <c r="C121"/>
  <c r="D121"/>
  <c r="G121"/>
  <c r="I121"/>
  <c r="K121"/>
  <c r="C116"/>
  <c r="D116"/>
  <c r="G116"/>
  <c r="I116"/>
  <c r="K116"/>
  <c r="C117"/>
  <c r="D117"/>
  <c r="G117"/>
  <c r="I117"/>
  <c r="K117"/>
  <c r="C114"/>
  <c r="D114"/>
  <c r="G114"/>
  <c r="I114"/>
  <c r="K114"/>
  <c r="C112"/>
  <c r="D112"/>
  <c r="G112"/>
  <c r="I112"/>
  <c r="K112"/>
  <c r="H119" l="1"/>
  <c r="I70" i="1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K65"/>
  <c r="K59"/>
  <c r="Q27" i="13"/>
  <c r="R27" s="1"/>
  <c r="Q26"/>
  <c r="R26" s="1"/>
  <c r="Q22"/>
  <c r="R22" s="1"/>
  <c r="K10" i="10"/>
  <c r="Q21" i="13"/>
  <c r="R21" s="1"/>
  <c r="H71" i="10"/>
  <c r="J53" i="4" s="1"/>
  <c r="F71" i="10"/>
  <c r="F53" i="4" s="1"/>
  <c r="H120" i="9"/>
  <c r="I7" i="10"/>
  <c r="K7" s="1"/>
  <c r="D71"/>
  <c r="B53" i="4" s="1"/>
  <c r="L119" i="9"/>
  <c r="L112"/>
  <c r="J118"/>
  <c r="J112"/>
  <c r="J116"/>
  <c r="L115"/>
  <c r="J117"/>
  <c r="H121"/>
  <c r="M114"/>
  <c r="N114" s="1"/>
  <c r="L121"/>
  <c r="H117"/>
  <c r="L120"/>
  <c r="L118"/>
  <c r="M112"/>
  <c r="O112" s="1"/>
  <c r="P112" s="1"/>
  <c r="H112"/>
  <c r="J120"/>
  <c r="M119"/>
  <c r="J114"/>
  <c r="M116"/>
  <c r="O116" s="1"/>
  <c r="P116" s="1"/>
  <c r="J121"/>
  <c r="L117"/>
  <c r="M121"/>
  <c r="N121" s="1"/>
  <c r="M117"/>
  <c r="N117" s="1"/>
  <c r="J119"/>
  <c r="H118"/>
  <c r="M122"/>
  <c r="M120"/>
  <c r="M118"/>
  <c r="L114"/>
  <c r="H114"/>
  <c r="L116"/>
  <c r="H116"/>
  <c r="J115"/>
  <c r="M115"/>
  <c r="H115"/>
  <c r="A6"/>
  <c r="A5"/>
  <c r="A4"/>
  <c r="A3"/>
  <c r="A3" i="8"/>
  <c r="D11" i="5"/>
  <c r="E119" i="8"/>
  <c r="E118"/>
  <c r="E117"/>
  <c r="D117"/>
  <c r="D120" s="1"/>
  <c r="E113"/>
  <c r="E112"/>
  <c r="D112"/>
  <c r="D114" s="1"/>
  <c r="E108"/>
  <c r="E107"/>
  <c r="E106"/>
  <c r="E105"/>
  <c r="E104"/>
  <c r="E103"/>
  <c r="E102"/>
  <c r="E101"/>
  <c r="E100"/>
  <c r="E99"/>
  <c r="E98"/>
  <c r="E97"/>
  <c r="E91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K18" i="10" l="1"/>
  <c r="K38"/>
  <c r="K67"/>
  <c r="K26"/>
  <c r="K50"/>
  <c r="K14"/>
  <c r="K63"/>
  <c r="K66"/>
  <c r="D116" i="8"/>
  <c r="K70" i="10"/>
  <c r="E120" i="8"/>
  <c r="E114"/>
  <c r="E116"/>
  <c r="E109"/>
  <c r="N115" i="9"/>
  <c r="E10" i="8"/>
  <c r="K54" i="10"/>
  <c r="K53"/>
  <c r="K44"/>
  <c r="K30"/>
  <c r="K22"/>
  <c r="K13"/>
  <c r="K49"/>
  <c r="K46"/>
  <c r="K42"/>
  <c r="K34"/>
  <c r="K20"/>
  <c r="K29"/>
  <c r="K48"/>
  <c r="K24"/>
  <c r="K21"/>
  <c r="K17"/>
  <c r="K33"/>
  <c r="K25"/>
  <c r="K37"/>
  <c r="K45"/>
  <c r="K62"/>
  <c r="K12"/>
  <c r="K16"/>
  <c r="K61"/>
  <c r="K28"/>
  <c r="E94" i="8"/>
  <c r="K8" i="10"/>
  <c r="K40"/>
  <c r="K56"/>
  <c r="K9"/>
  <c r="K23"/>
  <c r="K27"/>
  <c r="K36"/>
  <c r="K41"/>
  <c r="K52"/>
  <c r="K58"/>
  <c r="K69"/>
  <c r="D111" i="8"/>
  <c r="E70"/>
  <c r="E111"/>
  <c r="K11" i="10"/>
  <c r="K31"/>
  <c r="C23" i="13"/>
  <c r="Q23" s="1"/>
  <c r="R23" s="1"/>
  <c r="Q24"/>
  <c r="R24" s="1"/>
  <c r="K35" i="10"/>
  <c r="K39"/>
  <c r="K43"/>
  <c r="K47"/>
  <c r="K51"/>
  <c r="K55"/>
  <c r="K60"/>
  <c r="K64"/>
  <c r="K68"/>
  <c r="C19" i="13"/>
  <c r="Q20"/>
  <c r="K15" i="10"/>
  <c r="K19"/>
  <c r="K32"/>
  <c r="E96" i="8"/>
  <c r="O114" i="9"/>
  <c r="P114" s="1"/>
  <c r="J7" i="10"/>
  <c r="J71" s="1"/>
  <c r="I71"/>
  <c r="O121" i="9"/>
  <c r="P121" s="1"/>
  <c r="N119"/>
  <c r="Q121"/>
  <c r="R121" s="1"/>
  <c r="Q117"/>
  <c r="R117" s="1"/>
  <c r="Q119"/>
  <c r="N112"/>
  <c r="Q114"/>
  <c r="R114" s="1"/>
  <c r="Q112"/>
  <c r="R112" s="1"/>
  <c r="O119"/>
  <c r="O117"/>
  <c r="P117" s="1"/>
  <c r="N116"/>
  <c r="Q116"/>
  <c r="R116" s="1"/>
  <c r="O120"/>
  <c r="P120" s="1"/>
  <c r="Q120"/>
  <c r="R120" s="1"/>
  <c r="N120"/>
  <c r="N118"/>
  <c r="Q118"/>
  <c r="R118" s="1"/>
  <c r="O118"/>
  <c r="P118" s="1"/>
  <c r="Q122"/>
  <c r="R122" s="1"/>
  <c r="O115"/>
  <c r="Q115"/>
  <c r="A3" i="7"/>
  <c r="O7"/>
  <c r="R129" i="1"/>
  <c r="R128"/>
  <c r="Q128"/>
  <c r="Q129"/>
  <c r="P129"/>
  <c r="K135" i="6" s="1"/>
  <c r="P128" i="1"/>
  <c r="K134" i="6" s="1"/>
  <c r="O129" i="1"/>
  <c r="I135" i="6" s="1"/>
  <c r="O128" i="1"/>
  <c r="I134" i="6" s="1"/>
  <c r="N129" i="1"/>
  <c r="G135" i="6" s="1"/>
  <c r="N128" i="1"/>
  <c r="G134" i="6" s="1"/>
  <c r="M129" i="1"/>
  <c r="E135" i="6" s="1"/>
  <c r="M128" i="1"/>
  <c r="E134" i="6" s="1"/>
  <c r="L129" i="1"/>
  <c r="D135" i="6" s="1"/>
  <c r="L128" i="1"/>
  <c r="D134" i="6" s="1"/>
  <c r="K129" i="1"/>
  <c r="C135" i="6" s="1"/>
  <c r="K128" i="1"/>
  <c r="C134" i="6" s="1"/>
  <c r="J129" i="1"/>
  <c r="J128"/>
  <c r="I129"/>
  <c r="I128"/>
  <c r="H129"/>
  <c r="H128"/>
  <c r="G129"/>
  <c r="G128"/>
  <c r="F129"/>
  <c r="F128"/>
  <c r="E129"/>
  <c r="E128"/>
  <c r="D129"/>
  <c r="D128"/>
  <c r="C129"/>
  <c r="C128"/>
  <c r="B129"/>
  <c r="B128"/>
  <c r="C61" i="4" l="1"/>
  <c r="B57"/>
  <c r="B64"/>
  <c r="C57"/>
  <c r="C64"/>
  <c r="B61"/>
  <c r="E121" i="8"/>
  <c r="R115" i="9"/>
  <c r="P115"/>
  <c r="C52" i="4"/>
  <c r="B52"/>
  <c r="B70" s="1"/>
  <c r="K71" i="10"/>
  <c r="D62" i="12"/>
  <c r="D57" i="9"/>
  <c r="K57"/>
  <c r="K62" i="12"/>
  <c r="D63"/>
  <c r="D58" i="9"/>
  <c r="G58"/>
  <c r="G63" i="12"/>
  <c r="K63"/>
  <c r="K58" i="9"/>
  <c r="G57"/>
  <c r="G62" i="12"/>
  <c r="C62"/>
  <c r="C57" i="9"/>
  <c r="E62" i="12"/>
  <c r="E57" i="9"/>
  <c r="I62" i="12"/>
  <c r="J62" s="1"/>
  <c r="I57" i="9"/>
  <c r="J57" s="1"/>
  <c r="C58"/>
  <c r="C63" i="12"/>
  <c r="E63"/>
  <c r="E58" i="9"/>
  <c r="F58" s="1"/>
  <c r="I58"/>
  <c r="I63" i="12"/>
  <c r="C35" i="13"/>
  <c r="R20"/>
  <c r="Q19"/>
  <c r="R19" s="1"/>
  <c r="F135" i="6"/>
  <c r="F134"/>
  <c r="R119" i="9"/>
  <c r="P119"/>
  <c r="L135" i="6"/>
  <c r="J135"/>
  <c r="L134"/>
  <c r="H135"/>
  <c r="J134"/>
  <c r="H134"/>
  <c r="M135"/>
  <c r="M134"/>
  <c r="Q7" i="7"/>
  <c r="F63" i="12" l="1"/>
  <c r="L63"/>
  <c r="C70" i="4"/>
  <c r="L58" i="9"/>
  <c r="J58"/>
  <c r="H57"/>
  <c r="H58"/>
  <c r="L57"/>
  <c r="F57"/>
  <c r="F62" i="12"/>
  <c r="J63"/>
  <c r="H62"/>
  <c r="H63"/>
  <c r="L62"/>
  <c r="N134" i="6"/>
  <c r="M57" i="9"/>
  <c r="N57" s="1"/>
  <c r="M62" i="12"/>
  <c r="N62" s="1"/>
  <c r="Q135" i="6"/>
  <c r="M63" i="12"/>
  <c r="N63" s="1"/>
  <c r="M58" i="9"/>
  <c r="N58" s="1"/>
  <c r="Q35" i="13"/>
  <c r="Q134" i="6"/>
  <c r="O134"/>
  <c r="O135"/>
  <c r="N135"/>
  <c r="C24" i="5"/>
  <c r="C23"/>
  <c r="C22"/>
  <c r="B24"/>
  <c r="B23"/>
  <c r="B22"/>
  <c r="C16"/>
  <c r="C15"/>
  <c r="C14"/>
  <c r="B16"/>
  <c r="B15"/>
  <c r="B14"/>
  <c r="A6" i="2"/>
  <c r="A5"/>
  <c r="A4"/>
  <c r="J68" i="4"/>
  <c r="H68"/>
  <c r="F68"/>
  <c r="D68"/>
  <c r="L53"/>
  <c r="K53"/>
  <c r="I53"/>
  <c r="G53"/>
  <c r="E53"/>
  <c r="L47"/>
  <c r="K47"/>
  <c r="I47"/>
  <c r="G47"/>
  <c r="E47"/>
  <c r="C33"/>
  <c r="B33"/>
  <c r="C29" i="11" s="1"/>
  <c r="D32" i="4"/>
  <c r="C30"/>
  <c r="F26" i="11" s="1"/>
  <c r="B30" i="4"/>
  <c r="C26" i="11" s="1"/>
  <c r="C21" i="4"/>
  <c r="F17" i="11" s="1"/>
  <c r="B21" i="4"/>
  <c r="C17" i="11" s="1"/>
  <c r="J17" i="4"/>
  <c r="R13" i="11" s="1"/>
  <c r="H17" i="4"/>
  <c r="O13" i="11" s="1"/>
  <c r="F17" i="4"/>
  <c r="L13" i="11" s="1"/>
  <c r="D17" i="4"/>
  <c r="I13" i="11" s="1"/>
  <c r="C17" i="4"/>
  <c r="B17"/>
  <c r="C16"/>
  <c r="B16"/>
  <c r="C12" i="11" s="1"/>
  <c r="J11" i="4"/>
  <c r="H11"/>
  <c r="O7" i="11" s="1"/>
  <c r="F11" i="4"/>
  <c r="D11"/>
  <c r="I7" i="11" s="1"/>
  <c r="C11" i="4"/>
  <c r="B11"/>
  <c r="C11" i="3"/>
  <c r="E7" i="11" s="1"/>
  <c r="D11" i="3"/>
  <c r="H7" i="11" s="1"/>
  <c r="F11" i="3"/>
  <c r="K7" i="11" s="1"/>
  <c r="H11" i="3"/>
  <c r="J11"/>
  <c r="Q7" i="11" s="1"/>
  <c r="C12" i="3"/>
  <c r="E8" i="11" s="1"/>
  <c r="D12" i="3"/>
  <c r="H8" i="11" s="1"/>
  <c r="F12" i="3"/>
  <c r="H12"/>
  <c r="J12"/>
  <c r="E11" i="11"/>
  <c r="H11"/>
  <c r="K11"/>
  <c r="N11"/>
  <c r="C16" i="3"/>
  <c r="E12" i="11" s="1"/>
  <c r="D16" i="3"/>
  <c r="H12" i="11" s="1"/>
  <c r="F16" i="3"/>
  <c r="K12" i="11" s="1"/>
  <c r="H16" i="3"/>
  <c r="N12" i="11" s="1"/>
  <c r="J16" i="3"/>
  <c r="Q12" i="11" s="1"/>
  <c r="C17" i="3"/>
  <c r="D17"/>
  <c r="H13" i="11" s="1"/>
  <c r="F17" i="3"/>
  <c r="K13" i="11" s="1"/>
  <c r="H17" i="3"/>
  <c r="N13" i="11" s="1"/>
  <c r="J17" i="3"/>
  <c r="C20"/>
  <c r="E16" i="11" s="1"/>
  <c r="D20" i="3"/>
  <c r="H16" i="11" s="1"/>
  <c r="F20" i="3"/>
  <c r="H20"/>
  <c r="J20"/>
  <c r="C21"/>
  <c r="E17" i="11" s="1"/>
  <c r="D21" i="3"/>
  <c r="F21"/>
  <c r="H21"/>
  <c r="N17" i="11" s="1"/>
  <c r="J21" i="3"/>
  <c r="Q17" i="11" s="1"/>
  <c r="C29" i="3"/>
  <c r="D29"/>
  <c r="H25" i="11" s="1"/>
  <c r="F29" i="3"/>
  <c r="K25" i="11" s="1"/>
  <c r="H29" i="3"/>
  <c r="N25" i="11" s="1"/>
  <c r="J29" i="3"/>
  <c r="C30"/>
  <c r="E26" i="11" s="1"/>
  <c r="D30" i="3"/>
  <c r="H26" i="11" s="1"/>
  <c r="F30" i="3"/>
  <c r="K26" i="11" s="1"/>
  <c r="H30" i="3"/>
  <c r="J30"/>
  <c r="D32"/>
  <c r="H28" i="11" s="1"/>
  <c r="J28" s="1"/>
  <c r="C33" i="3"/>
  <c r="D33"/>
  <c r="F33"/>
  <c r="H33"/>
  <c r="N29" i="11" s="1"/>
  <c r="J33" i="3"/>
  <c r="Q29" i="11" s="1"/>
  <c r="H30"/>
  <c r="K30"/>
  <c r="B30" i="3"/>
  <c r="B26" i="11" s="1"/>
  <c r="B33" i="3"/>
  <c r="B29" i="11" s="1"/>
  <c r="B30"/>
  <c r="B29" i="3"/>
  <c r="B25" i="11" s="1"/>
  <c r="B21" i="3"/>
  <c r="B17" i="11" s="1"/>
  <c r="B12" i="3"/>
  <c r="B8" i="11" s="1"/>
  <c r="B11"/>
  <c r="B16" i="3"/>
  <c r="B12" i="11" s="1"/>
  <c r="B17" i="3"/>
  <c r="B20"/>
  <c r="B16" i="11" s="1"/>
  <c r="B11" i="3"/>
  <c r="B7" i="11" s="1"/>
  <c r="L65" i="3"/>
  <c r="L64"/>
  <c r="L61"/>
  <c r="N61" s="1"/>
  <c r="L60"/>
  <c r="N60" s="1"/>
  <c r="N29" s="1"/>
  <c r="L57"/>
  <c r="M57" s="1"/>
  <c r="L56"/>
  <c r="M56" s="1"/>
  <c r="L52"/>
  <c r="M52" s="1"/>
  <c r="L53"/>
  <c r="N53" s="1"/>
  <c r="N17" s="1"/>
  <c r="L51"/>
  <c r="L48"/>
  <c r="M48" s="1"/>
  <c r="K65"/>
  <c r="K64"/>
  <c r="K61"/>
  <c r="K60"/>
  <c r="K57"/>
  <c r="K56"/>
  <c r="K53"/>
  <c r="K52"/>
  <c r="K51"/>
  <c r="K48"/>
  <c r="K47"/>
  <c r="I65"/>
  <c r="I64"/>
  <c r="I61"/>
  <c r="I60"/>
  <c r="I57"/>
  <c r="I56"/>
  <c r="I53"/>
  <c r="I52"/>
  <c r="I51"/>
  <c r="I48"/>
  <c r="I47"/>
  <c r="G65"/>
  <c r="G64"/>
  <c r="G61"/>
  <c r="G60"/>
  <c r="G57"/>
  <c r="G56"/>
  <c r="G53"/>
  <c r="G52"/>
  <c r="G51"/>
  <c r="G48"/>
  <c r="G47"/>
  <c r="E51"/>
  <c r="E52"/>
  <c r="E53"/>
  <c r="E56"/>
  <c r="E57"/>
  <c r="E60"/>
  <c r="E61"/>
  <c r="E64"/>
  <c r="E65"/>
  <c r="E48"/>
  <c r="E47"/>
  <c r="L47"/>
  <c r="L68" s="1"/>
  <c r="D68"/>
  <c r="F68"/>
  <c r="H68"/>
  <c r="J68"/>
  <c r="D69"/>
  <c r="F69"/>
  <c r="H69"/>
  <c r="J69"/>
  <c r="D70"/>
  <c r="F70"/>
  <c r="H70"/>
  <c r="J70"/>
  <c r="D71"/>
  <c r="F71"/>
  <c r="H71"/>
  <c r="J71"/>
  <c r="D66"/>
  <c r="F66"/>
  <c r="H66"/>
  <c r="J66"/>
  <c r="D62"/>
  <c r="F62"/>
  <c r="H62"/>
  <c r="J62"/>
  <c r="D58"/>
  <c r="F58"/>
  <c r="H58"/>
  <c r="J58"/>
  <c r="D54"/>
  <c r="F54"/>
  <c r="H54"/>
  <c r="J54"/>
  <c r="D49"/>
  <c r="F49"/>
  <c r="H49"/>
  <c r="J49"/>
  <c r="C69"/>
  <c r="B69"/>
  <c r="C71"/>
  <c r="B71"/>
  <c r="C70"/>
  <c r="B70"/>
  <c r="C68"/>
  <c r="B68"/>
  <c r="C66"/>
  <c r="B66"/>
  <c r="C62"/>
  <c r="B62"/>
  <c r="C58"/>
  <c r="B58"/>
  <c r="C54"/>
  <c r="B54"/>
  <c r="C49"/>
  <c r="B49"/>
  <c r="M65" l="1"/>
  <c r="L34"/>
  <c r="T30" i="11" s="1"/>
  <c r="M51" i="3"/>
  <c r="L15"/>
  <c r="T11" i="11" s="1"/>
  <c r="K21" i="3"/>
  <c r="M13" i="11"/>
  <c r="G17"/>
  <c r="D29"/>
  <c r="B40" i="3"/>
  <c r="B36" i="11" s="1"/>
  <c r="B13"/>
  <c r="I30" i="3"/>
  <c r="N26" i="11"/>
  <c r="E21" i="3"/>
  <c r="H17" i="11"/>
  <c r="I33" i="3"/>
  <c r="E29" i="11"/>
  <c r="P13"/>
  <c r="D26"/>
  <c r="G34" i="3"/>
  <c r="E30" i="11"/>
  <c r="E33" i="3"/>
  <c r="H29" i="11"/>
  <c r="C31" i="3"/>
  <c r="E27" i="11" s="1"/>
  <c r="E25"/>
  <c r="G20" i="3"/>
  <c r="K16" i="11"/>
  <c r="G12" i="3"/>
  <c r="K8" i="11"/>
  <c r="I11" i="3"/>
  <c r="N7" i="11"/>
  <c r="P7" s="1"/>
  <c r="F37" i="4"/>
  <c r="L33" i="11" s="1"/>
  <c r="L7"/>
  <c r="M7" s="1"/>
  <c r="G26"/>
  <c r="F35" i="3"/>
  <c r="K31" i="11" s="1"/>
  <c r="K29"/>
  <c r="K30" i="3"/>
  <c r="Q26" i="11"/>
  <c r="G21" i="3"/>
  <c r="K17" i="11"/>
  <c r="I12" i="3"/>
  <c r="N8" i="11"/>
  <c r="J7"/>
  <c r="D12"/>
  <c r="J13"/>
  <c r="D17"/>
  <c r="R35" i="13"/>
  <c r="K20" i="3"/>
  <c r="Q16" i="11"/>
  <c r="I20" i="3"/>
  <c r="N16" i="11"/>
  <c r="K17" i="3"/>
  <c r="Q13" i="11"/>
  <c r="S13" s="1"/>
  <c r="I17" i="3"/>
  <c r="C26"/>
  <c r="E22" i="11" s="1"/>
  <c r="E13"/>
  <c r="K54" i="3"/>
  <c r="G70"/>
  <c r="K29"/>
  <c r="Q25" i="11"/>
  <c r="K12" i="3"/>
  <c r="Q8" i="11"/>
  <c r="J37" i="4"/>
  <c r="R33" i="11" s="1"/>
  <c r="R7"/>
  <c r="S7" s="1"/>
  <c r="K34" i="3"/>
  <c r="Q30" i="11"/>
  <c r="P134" i="6"/>
  <c r="O62" i="12"/>
  <c r="P62" s="1"/>
  <c r="O57" i="9"/>
  <c r="P57" s="1"/>
  <c r="R135" i="6"/>
  <c r="Q58" i="9"/>
  <c r="R58" s="1"/>
  <c r="Q63" i="12"/>
  <c r="R63" s="1"/>
  <c r="R134" i="6"/>
  <c r="Q62" i="12"/>
  <c r="R62" s="1"/>
  <c r="Q57" i="9"/>
  <c r="R57" s="1"/>
  <c r="P135" i="6"/>
  <c r="O63" i="12"/>
  <c r="P63" s="1"/>
  <c r="O58" i="9"/>
  <c r="P58" s="1"/>
  <c r="F13" i="11"/>
  <c r="B26" i="4"/>
  <c r="C22" i="11" s="1"/>
  <c r="C13"/>
  <c r="C25" i="4"/>
  <c r="F21" i="11" s="1"/>
  <c r="F12"/>
  <c r="G12" s="1"/>
  <c r="F29"/>
  <c r="C37" i="4"/>
  <c r="F33" i="11" s="1"/>
  <c r="F7"/>
  <c r="G7" s="1"/>
  <c r="B37" i="4"/>
  <c r="C33" i="11" s="1"/>
  <c r="C7"/>
  <c r="D7" s="1"/>
  <c r="K15" i="3"/>
  <c r="Q11" i="11"/>
  <c r="J24" i="3"/>
  <c r="Q20" i="11" s="1"/>
  <c r="P65" i="3"/>
  <c r="C38"/>
  <c r="E34" i="11" s="1"/>
  <c r="M64" i="3"/>
  <c r="P64"/>
  <c r="Q64" s="1"/>
  <c r="E29"/>
  <c r="F24"/>
  <c r="K20" i="11" s="1"/>
  <c r="F18" i="3"/>
  <c r="K14" i="11" s="1"/>
  <c r="C13" i="3"/>
  <c r="E9" i="11" s="1"/>
  <c r="C37" i="3"/>
  <c r="E33" i="11" s="1"/>
  <c r="G29" i="3"/>
  <c r="M53" i="4"/>
  <c r="L17"/>
  <c r="P53"/>
  <c r="P17" s="1"/>
  <c r="AA13" i="11" s="1"/>
  <c r="N53" i="4"/>
  <c r="K16" i="3"/>
  <c r="J25"/>
  <c r="Q21" i="11" s="1"/>
  <c r="C39" i="3"/>
  <c r="E35" i="11" s="1"/>
  <c r="J26" i="3"/>
  <c r="D31"/>
  <c r="H27" i="11" s="1"/>
  <c r="F26" i="4"/>
  <c r="L22" i="11" s="1"/>
  <c r="C25" i="3"/>
  <c r="E21" i="11" s="1"/>
  <c r="J38" i="3"/>
  <c r="B39" i="4"/>
  <c r="C35" i="11" s="1"/>
  <c r="H26" i="4"/>
  <c r="O22" i="11" s="1"/>
  <c r="E68" i="4"/>
  <c r="G62" i="3"/>
  <c r="G30"/>
  <c r="H31"/>
  <c r="G17"/>
  <c r="I16"/>
  <c r="C18"/>
  <c r="E14" i="11" s="1"/>
  <c r="F13" i="3"/>
  <c r="C24"/>
  <c r="E20" i="11" s="1"/>
  <c r="G68" i="4"/>
  <c r="I66" i="3"/>
  <c r="E54"/>
  <c r="B38"/>
  <c r="B34" i="11" s="1"/>
  <c r="E30" i="3"/>
  <c r="F31"/>
  <c r="I21"/>
  <c r="C22"/>
  <c r="E18" i="11" s="1"/>
  <c r="G16" i="3"/>
  <c r="H18"/>
  <c r="N14" i="11" s="1"/>
  <c r="N57" i="3"/>
  <c r="N21" s="1"/>
  <c r="O21" s="1"/>
  <c r="P57"/>
  <c r="P21" s="1"/>
  <c r="H22"/>
  <c r="L58"/>
  <c r="M58" s="1"/>
  <c r="P51"/>
  <c r="H38"/>
  <c r="N51"/>
  <c r="J13"/>
  <c r="K11"/>
  <c r="J37"/>
  <c r="H35"/>
  <c r="N31" i="11" s="1"/>
  <c r="C26" i="4"/>
  <c r="M47"/>
  <c r="P47"/>
  <c r="N47"/>
  <c r="G11"/>
  <c r="K11"/>
  <c r="K68"/>
  <c r="D37"/>
  <c r="I33" i="11" s="1"/>
  <c r="L11" i="4"/>
  <c r="U7" i="11" s="1"/>
  <c r="K17" i="4"/>
  <c r="H37"/>
  <c r="O33" i="11" s="1"/>
  <c r="L68" i="4"/>
  <c r="I17"/>
  <c r="E17"/>
  <c r="C39"/>
  <c r="F35" i="11" s="1"/>
  <c r="E11" i="4"/>
  <c r="I11"/>
  <c r="G17"/>
  <c r="B25"/>
  <c r="C21" i="11" s="1"/>
  <c r="J26" i="4"/>
  <c r="R22" i="11" s="1"/>
  <c r="D26" i="4"/>
  <c r="I22" i="11" s="1"/>
  <c r="I68" i="4"/>
  <c r="K58" i="3"/>
  <c r="L62"/>
  <c r="M62" s="1"/>
  <c r="E66"/>
  <c r="P48"/>
  <c r="P12" s="1"/>
  <c r="Z8" i="11" s="1"/>
  <c r="N65" i="3"/>
  <c r="B25"/>
  <c r="B21" i="11" s="1"/>
  <c r="B39" i="3"/>
  <c r="B35" i="11" s="1"/>
  <c r="B31" i="3"/>
  <c r="B27" i="11" s="1"/>
  <c r="G33" i="3"/>
  <c r="L30"/>
  <c r="L21"/>
  <c r="L17"/>
  <c r="T13" i="11" s="1"/>
  <c r="D40" i="3"/>
  <c r="H36" i="11" s="1"/>
  <c r="D26" i="3"/>
  <c r="H22" i="11" s="1"/>
  <c r="E17" i="3"/>
  <c r="E15"/>
  <c r="D24"/>
  <c r="H20" i="11" s="1"/>
  <c r="D18" i="3"/>
  <c r="H14" i="11" s="1"/>
  <c r="L11" i="3"/>
  <c r="T7" i="11" s="1"/>
  <c r="V7" s="1"/>
  <c r="D37" i="3"/>
  <c r="E11"/>
  <c r="J40"/>
  <c r="Q36" i="11" s="1"/>
  <c r="O57" i="3"/>
  <c r="O17"/>
  <c r="N26"/>
  <c r="B37"/>
  <c r="B33" i="11" s="1"/>
  <c r="B13" i="3"/>
  <c r="B9" i="11" s="1"/>
  <c r="B18" i="3"/>
  <c r="B14" i="11" s="1"/>
  <c r="B24" i="3"/>
  <c r="B20" i="11" s="1"/>
  <c r="C40" i="3"/>
  <c r="E36" i="11" s="1"/>
  <c r="E34" i="3"/>
  <c r="N64"/>
  <c r="L33"/>
  <c r="T29" i="11" s="1"/>
  <c r="O61" i="3"/>
  <c r="N30"/>
  <c r="O30" s="1"/>
  <c r="B22"/>
  <c r="B18" i="11" s="1"/>
  <c r="B35" i="3"/>
  <c r="B31" i="11" s="1"/>
  <c r="I34" i="3"/>
  <c r="J35"/>
  <c r="K33"/>
  <c r="C35"/>
  <c r="L29"/>
  <c r="T25" i="11" s="1"/>
  <c r="L20" i="3"/>
  <c r="T16" i="11" s="1"/>
  <c r="E20" i="3"/>
  <c r="D22"/>
  <c r="H40"/>
  <c r="L16"/>
  <c r="T12" i="11" s="1"/>
  <c r="D39" i="3"/>
  <c r="D25"/>
  <c r="E16"/>
  <c r="L12"/>
  <c r="T8" i="11" s="1"/>
  <c r="D38" i="3"/>
  <c r="H34" i="11" s="1"/>
  <c r="E12" i="3"/>
  <c r="B26"/>
  <c r="B22" i="11" s="1"/>
  <c r="D13" i="3"/>
  <c r="J39"/>
  <c r="Q35" i="11" s="1"/>
  <c r="O29" i="3"/>
  <c r="H26"/>
  <c r="N22" i="11" s="1"/>
  <c r="H25" i="3"/>
  <c r="H24"/>
  <c r="N20" i="11" s="1"/>
  <c r="F22" i="3"/>
  <c r="J31"/>
  <c r="D35"/>
  <c r="H31" i="11" s="1"/>
  <c r="H39" i="3"/>
  <c r="N35" i="11" s="1"/>
  <c r="H37" i="3"/>
  <c r="G15"/>
  <c r="I29"/>
  <c r="F26"/>
  <c r="F25"/>
  <c r="H13"/>
  <c r="J18"/>
  <c r="F40"/>
  <c r="K36" i="11" s="1"/>
  <c r="F39" i="3"/>
  <c r="K35" i="11" s="1"/>
  <c r="F38" i="3"/>
  <c r="F37"/>
  <c r="K33" i="11" s="1"/>
  <c r="G11" i="3"/>
  <c r="I15"/>
  <c r="J22"/>
  <c r="E71"/>
  <c r="G68"/>
  <c r="G49"/>
  <c r="G54"/>
  <c r="I58"/>
  <c r="K62"/>
  <c r="K66"/>
  <c r="K71"/>
  <c r="L70"/>
  <c r="M70" s="1"/>
  <c r="E70"/>
  <c r="E68"/>
  <c r="P56"/>
  <c r="N48"/>
  <c r="N12" s="1"/>
  <c r="I54"/>
  <c r="E62"/>
  <c r="C72"/>
  <c r="C73" s="1"/>
  <c r="G58"/>
  <c r="I62"/>
  <c r="I71"/>
  <c r="K70"/>
  <c r="K68"/>
  <c r="M68"/>
  <c r="P60"/>
  <c r="G71"/>
  <c r="I69"/>
  <c r="I68"/>
  <c r="F72"/>
  <c r="I49"/>
  <c r="E58"/>
  <c r="I70"/>
  <c r="D72"/>
  <c r="H72"/>
  <c r="E49"/>
  <c r="G66"/>
  <c r="L69"/>
  <c r="E69"/>
  <c r="K49"/>
  <c r="M60"/>
  <c r="L54"/>
  <c r="M54" s="1"/>
  <c r="J72"/>
  <c r="P47"/>
  <c r="P11" s="1"/>
  <c r="Z7" i="11" s="1"/>
  <c r="P61" i="3"/>
  <c r="P30" s="1"/>
  <c r="P52"/>
  <c r="G69"/>
  <c r="M61"/>
  <c r="K69"/>
  <c r="M47"/>
  <c r="M53"/>
  <c r="L49"/>
  <c r="M49" s="1"/>
  <c r="N47"/>
  <c r="N11" s="1"/>
  <c r="W7" i="11" s="1"/>
  <c r="P53" i="3"/>
  <c r="B72"/>
  <c r="L71"/>
  <c r="M71" s="1"/>
  <c r="N52"/>
  <c r="L66"/>
  <c r="M66" s="1"/>
  <c r="N62"/>
  <c r="O62" s="1"/>
  <c r="O60"/>
  <c r="N56"/>
  <c r="N20" s="1"/>
  <c r="O53"/>
  <c r="M30" l="1"/>
  <c r="T26" i="11"/>
  <c r="G29"/>
  <c r="Q30" i="3"/>
  <c r="Z26" i="11"/>
  <c r="M34" i="3"/>
  <c r="I72"/>
  <c r="Q21"/>
  <c r="Z17" i="11"/>
  <c r="M21" i="3"/>
  <c r="T17" i="11"/>
  <c r="M17" i="4"/>
  <c r="U13" i="11"/>
  <c r="V13" s="1"/>
  <c r="G37" i="4"/>
  <c r="Q48" i="3"/>
  <c r="J27"/>
  <c r="Q23" i="11" s="1"/>
  <c r="Q51" i="3"/>
  <c r="P15"/>
  <c r="O51"/>
  <c r="N15"/>
  <c r="N38" s="1"/>
  <c r="O38" s="1"/>
  <c r="N71"/>
  <c r="O71" s="1"/>
  <c r="N34"/>
  <c r="Q65"/>
  <c r="P34"/>
  <c r="K38"/>
  <c r="Q57"/>
  <c r="P33"/>
  <c r="O26"/>
  <c r="M33" i="11"/>
  <c r="G38" i="3"/>
  <c r="K34" i="11"/>
  <c r="I13" i="3"/>
  <c r="N9" i="11"/>
  <c r="D22"/>
  <c r="G25" i="3"/>
  <c r="K21" i="11"/>
  <c r="I37" i="3"/>
  <c r="N33" i="11"/>
  <c r="P33" s="1"/>
  <c r="G22" i="3"/>
  <c r="K18" i="11"/>
  <c r="E22" i="3"/>
  <c r="H18" i="11"/>
  <c r="G35" i="3"/>
  <c r="E31" i="11"/>
  <c r="E31" i="3"/>
  <c r="E37"/>
  <c r="H33" i="11"/>
  <c r="J33" s="1"/>
  <c r="G13" i="3"/>
  <c r="K9" i="11"/>
  <c r="G33"/>
  <c r="G26" i="3"/>
  <c r="K22" i="11"/>
  <c r="M22" s="1"/>
  <c r="J22"/>
  <c r="G31" i="3"/>
  <c r="K27" i="11"/>
  <c r="P22"/>
  <c r="P66" i="3"/>
  <c r="Q66" s="1"/>
  <c r="E13"/>
  <c r="H9" i="11"/>
  <c r="D21"/>
  <c r="D35"/>
  <c r="D33"/>
  <c r="D13"/>
  <c r="K22" i="3"/>
  <c r="Q18" i="11"/>
  <c r="I22" i="3"/>
  <c r="N18" i="11"/>
  <c r="I25" i="3"/>
  <c r="N21" i="11"/>
  <c r="K26" i="3"/>
  <c r="Q22" i="11"/>
  <c r="S22" s="1"/>
  <c r="I26" i="3"/>
  <c r="E26"/>
  <c r="C27"/>
  <c r="E23" i="11" s="1"/>
  <c r="G13"/>
  <c r="I39" i="3"/>
  <c r="C41"/>
  <c r="E37" i="11" s="1"/>
  <c r="G35"/>
  <c r="I18" i="3"/>
  <c r="G39"/>
  <c r="E39"/>
  <c r="H35" i="11"/>
  <c r="E25" i="3"/>
  <c r="H21" i="11"/>
  <c r="E18" i="3"/>
  <c r="G21" i="11"/>
  <c r="K31" i="3"/>
  <c r="Q27" i="11"/>
  <c r="I31" i="3"/>
  <c r="N27" i="11"/>
  <c r="K13" i="3"/>
  <c r="Q9" i="11"/>
  <c r="K37" i="3"/>
  <c r="Q33" i="11"/>
  <c r="S33" s="1"/>
  <c r="K35" i="3"/>
  <c r="Q31" i="11"/>
  <c r="N66" i="3"/>
  <c r="O66" s="1"/>
  <c r="I35"/>
  <c r="I40"/>
  <c r="N36" i="11"/>
  <c r="G26" i="4"/>
  <c r="F22" i="11"/>
  <c r="G22" s="1"/>
  <c r="K37" i="4"/>
  <c r="Q34" i="11"/>
  <c r="K18" i="3"/>
  <c r="Q14" i="11"/>
  <c r="I38" i="3"/>
  <c r="N34" i="11"/>
  <c r="Q53" i="4"/>
  <c r="E35" i="3"/>
  <c r="B41"/>
  <c r="K26" i="4"/>
  <c r="E40" i="3"/>
  <c r="D21" i="5"/>
  <c r="D13"/>
  <c r="O53" i="4"/>
  <c r="N17"/>
  <c r="X13" i="11" s="1"/>
  <c r="Y13" s="1"/>
  <c r="G18" i="3"/>
  <c r="K40"/>
  <c r="G24"/>
  <c r="K24"/>
  <c r="G40"/>
  <c r="K39"/>
  <c r="E13" i="5"/>
  <c r="K25" i="3"/>
  <c r="L26" i="4"/>
  <c r="M68"/>
  <c r="L37"/>
  <c r="U33" i="11" s="1"/>
  <c r="M11" i="4"/>
  <c r="Q47"/>
  <c r="P68"/>
  <c r="P11"/>
  <c r="AA7" i="11" s="1"/>
  <c r="AB7" s="1"/>
  <c r="E26" i="4"/>
  <c r="E37"/>
  <c r="I26"/>
  <c r="I37"/>
  <c r="Q17"/>
  <c r="P26"/>
  <c r="O47"/>
  <c r="N68"/>
  <c r="N11"/>
  <c r="X7" i="11" s="1"/>
  <c r="Y7" s="1"/>
  <c r="N13" i="3"/>
  <c r="O13" s="1"/>
  <c r="O11"/>
  <c r="N37"/>
  <c r="L39"/>
  <c r="T35" i="11" s="1"/>
  <c r="L25" i="3"/>
  <c r="M16"/>
  <c r="L22"/>
  <c r="M20"/>
  <c r="F27"/>
  <c r="L37"/>
  <c r="M11"/>
  <c r="L13"/>
  <c r="Q12"/>
  <c r="Q11"/>
  <c r="P13"/>
  <c r="P37"/>
  <c r="O12"/>
  <c r="I24"/>
  <c r="H27"/>
  <c r="J41"/>
  <c r="M29"/>
  <c r="L31"/>
  <c r="M33"/>
  <c r="L35"/>
  <c r="B27"/>
  <c r="B23" i="11" s="1"/>
  <c r="N31" i="3"/>
  <c r="O31" s="1"/>
  <c r="H41"/>
  <c r="L24"/>
  <c r="T20" i="11" s="1"/>
  <c r="L18" i="3"/>
  <c r="M15"/>
  <c r="L40"/>
  <c r="L26"/>
  <c r="M17"/>
  <c r="O20"/>
  <c r="N22"/>
  <c r="O22" s="1"/>
  <c r="Q56"/>
  <c r="P20"/>
  <c r="Z16" i="11" s="1"/>
  <c r="G37" i="3"/>
  <c r="F41"/>
  <c r="D41"/>
  <c r="E38"/>
  <c r="O64"/>
  <c r="N33"/>
  <c r="N70"/>
  <c r="O70" s="1"/>
  <c r="N16"/>
  <c r="Q53"/>
  <c r="P17"/>
  <c r="Z13" i="11" s="1"/>
  <c r="AB13" s="1"/>
  <c r="Q52" i="3"/>
  <c r="P16"/>
  <c r="Z12" i="11" s="1"/>
  <c r="Q60" i="3"/>
  <c r="P29"/>
  <c r="Z25" i="11" s="1"/>
  <c r="L38" i="3"/>
  <c r="T34" i="11" s="1"/>
  <c r="M12" i="3"/>
  <c r="D27"/>
  <c r="E24"/>
  <c r="O65"/>
  <c r="P69"/>
  <c r="Q69" s="1"/>
  <c r="N69"/>
  <c r="O69" s="1"/>
  <c r="L72"/>
  <c r="M72" s="1"/>
  <c r="P62"/>
  <c r="Q62" s="1"/>
  <c r="O48"/>
  <c r="E72"/>
  <c r="G72"/>
  <c r="P58"/>
  <c r="Q58" s="1"/>
  <c r="K72"/>
  <c r="P71"/>
  <c r="Q71" s="1"/>
  <c r="O47"/>
  <c r="N68"/>
  <c r="N49"/>
  <c r="O49" s="1"/>
  <c r="P68"/>
  <c r="Q68" s="1"/>
  <c r="Q47"/>
  <c r="P54"/>
  <c r="Q54" s="1"/>
  <c r="P70"/>
  <c r="Q70" s="1"/>
  <c r="Q61"/>
  <c r="M69"/>
  <c r="N54"/>
  <c r="O54" s="1"/>
  <c r="O52"/>
  <c r="P49"/>
  <c r="Q49" s="1"/>
  <c r="N58"/>
  <c r="O58" s="1"/>
  <c r="O56"/>
  <c r="Q33" l="1"/>
  <c r="Z29" i="11"/>
  <c r="M22" i="3"/>
  <c r="T18" i="11"/>
  <c r="M26" i="3"/>
  <c r="T22" i="11"/>
  <c r="M25" i="3"/>
  <c r="T21" i="11"/>
  <c r="M18" i="3"/>
  <c r="T14" i="11"/>
  <c r="Q15" i="3"/>
  <c r="Z11" i="11"/>
  <c r="M31" i="3"/>
  <c r="T27" i="11"/>
  <c r="M37" i="3"/>
  <c r="T33" i="11"/>
  <c r="V33" s="1"/>
  <c r="Q37" i="3"/>
  <c r="Z33" i="11"/>
  <c r="M13" i="3"/>
  <c r="T9" i="11"/>
  <c r="Q13" i="3"/>
  <c r="Z9" i="11"/>
  <c r="M35" i="3"/>
  <c r="T31" i="11"/>
  <c r="M40" i="3"/>
  <c r="T36" i="11"/>
  <c r="Q34" i="3"/>
  <c r="Z30" i="11"/>
  <c r="Q37"/>
  <c r="H13" i="5"/>
  <c r="Q26" i="4"/>
  <c r="AA22" i="11"/>
  <c r="M26" i="4"/>
  <c r="U22" i="11"/>
  <c r="V22" s="1"/>
  <c r="B37"/>
  <c r="G13" i="5"/>
  <c r="G21"/>
  <c r="P35" i="3"/>
  <c r="F13" i="5"/>
  <c r="P24" i="3"/>
  <c r="G27"/>
  <c r="K23" i="11"/>
  <c r="G7" i="5"/>
  <c r="O68" i="3"/>
  <c r="N72"/>
  <c r="G41"/>
  <c r="K27"/>
  <c r="E41"/>
  <c r="H37" i="11"/>
  <c r="E27" i="3"/>
  <c r="H23" i="11"/>
  <c r="O15" i="3"/>
  <c r="I27"/>
  <c r="N23" i="11"/>
  <c r="I41" i="3"/>
  <c r="N37" i="11"/>
  <c r="O17" i="4"/>
  <c r="N26"/>
  <c r="M39" i="3"/>
  <c r="E21" i="5"/>
  <c r="F21" s="1"/>
  <c r="N24" i="3"/>
  <c r="O24" s="1"/>
  <c r="K41"/>
  <c r="H7" i="5"/>
  <c r="Q68" i="4"/>
  <c r="O68"/>
  <c r="O11"/>
  <c r="N37"/>
  <c r="X33" i="11" s="1"/>
  <c r="Y33" s="1"/>
  <c r="P37" i="4"/>
  <c r="AA33" i="11" s="1"/>
  <c r="Q11" i="4"/>
  <c r="M37"/>
  <c r="O34" i="3"/>
  <c r="N40"/>
  <c r="O40" s="1"/>
  <c r="P39"/>
  <c r="P25"/>
  <c r="Q16"/>
  <c r="O16"/>
  <c r="N39"/>
  <c r="O39" s="1"/>
  <c r="N25"/>
  <c r="O25" s="1"/>
  <c r="O33"/>
  <c r="N35"/>
  <c r="O35" s="1"/>
  <c r="P18"/>
  <c r="N18"/>
  <c r="O18" s="1"/>
  <c r="O37"/>
  <c r="L41"/>
  <c r="M38"/>
  <c r="Q20"/>
  <c r="P22"/>
  <c r="P38"/>
  <c r="Z34" i="11" s="1"/>
  <c r="Q29" i="3"/>
  <c r="P31"/>
  <c r="Q17"/>
  <c r="P40"/>
  <c r="P26"/>
  <c r="M24"/>
  <c r="L27"/>
  <c r="P72"/>
  <c r="Q72" s="1"/>
  <c r="O72" l="1"/>
  <c r="Q22"/>
  <c r="Z18" i="11"/>
  <c r="Q26" i="3"/>
  <c r="Z22" i="11"/>
  <c r="AB22" s="1"/>
  <c r="Q25" i="3"/>
  <c r="Z21" i="11"/>
  <c r="Q39" i="3"/>
  <c r="Z35" i="11"/>
  <c r="Q18" i="3"/>
  <c r="Z14" i="11"/>
  <c r="Q24" i="3"/>
  <c r="Z20" i="11"/>
  <c r="M27" i="3"/>
  <c r="T23" i="11"/>
  <c r="Q31" i="3"/>
  <c r="Z27" i="11"/>
  <c r="AB33"/>
  <c r="I13" i="5"/>
  <c r="M41" i="3"/>
  <c r="T37" i="11"/>
  <c r="H21" i="5"/>
  <c r="I21" s="1"/>
  <c r="Q35" i="3"/>
  <c r="Z31" i="11"/>
  <c r="Q40" i="3"/>
  <c r="Z36" i="11"/>
  <c r="O26" i="4"/>
  <c r="X22" i="11"/>
  <c r="Y22" s="1"/>
  <c r="I7" i="5"/>
  <c r="Q37" i="4"/>
  <c r="O37"/>
  <c r="P41" i="3"/>
  <c r="Q38"/>
  <c r="P27"/>
  <c r="N27"/>
  <c r="O27" s="1"/>
  <c r="N41"/>
  <c r="O41" s="1"/>
  <c r="K23" i="2"/>
  <c r="K22"/>
  <c r="K21"/>
  <c r="K20"/>
  <c r="K19"/>
  <c r="K18"/>
  <c r="K17"/>
  <c r="K16"/>
  <c r="K12"/>
  <c r="K13"/>
  <c r="K11"/>
  <c r="K10"/>
  <c r="K14"/>
  <c r="I23"/>
  <c r="I22"/>
  <c r="I21"/>
  <c r="I20"/>
  <c r="I19"/>
  <c r="I18"/>
  <c r="I17"/>
  <c r="I16"/>
  <c r="I12"/>
  <c r="I13"/>
  <c r="I11"/>
  <c r="I10"/>
  <c r="I14"/>
  <c r="G23"/>
  <c r="G22"/>
  <c r="G21"/>
  <c r="G20"/>
  <c r="G19"/>
  <c r="G18"/>
  <c r="G17"/>
  <c r="G16"/>
  <c r="G12"/>
  <c r="G13"/>
  <c r="G11"/>
  <c r="G10"/>
  <c r="E23"/>
  <c r="E22"/>
  <c r="E21"/>
  <c r="E20"/>
  <c r="E19"/>
  <c r="E18"/>
  <c r="E17"/>
  <c r="E16"/>
  <c r="E12"/>
  <c r="E13"/>
  <c r="E11"/>
  <c r="E10"/>
  <c r="E14"/>
  <c r="D23"/>
  <c r="D22"/>
  <c r="D21"/>
  <c r="D20"/>
  <c r="D19"/>
  <c r="D18"/>
  <c r="D17"/>
  <c r="D16"/>
  <c r="D12"/>
  <c r="D13"/>
  <c r="D11"/>
  <c r="D10"/>
  <c r="D14"/>
  <c r="C23"/>
  <c r="C22"/>
  <c r="C21"/>
  <c r="C20"/>
  <c r="C19"/>
  <c r="C18"/>
  <c r="C17"/>
  <c r="C16"/>
  <c r="C12"/>
  <c r="C13"/>
  <c r="C11"/>
  <c r="C10"/>
  <c r="C14"/>
  <c r="Q27" i="3" l="1"/>
  <c r="Z23" i="11"/>
  <c r="Q41" i="3"/>
  <c r="Z37" i="11"/>
  <c r="H23" i="2"/>
  <c r="L23"/>
  <c r="F10"/>
  <c r="F16"/>
  <c r="F20"/>
  <c r="J10"/>
  <c r="J16"/>
  <c r="J20"/>
  <c r="M13"/>
  <c r="N13" s="1"/>
  <c r="M18"/>
  <c r="N18" s="1"/>
  <c r="M22"/>
  <c r="O22" s="1"/>
  <c r="P22" s="1"/>
  <c r="J11"/>
  <c r="J17"/>
  <c r="C15"/>
  <c r="C24" s="1"/>
  <c r="F12"/>
  <c r="F19"/>
  <c r="M11"/>
  <c r="E15"/>
  <c r="E24" s="1"/>
  <c r="M21"/>
  <c r="Q21" s="1"/>
  <c r="R21" s="1"/>
  <c r="H10"/>
  <c r="M16"/>
  <c r="N16" s="1"/>
  <c r="M20"/>
  <c r="N20" s="1"/>
  <c r="J13"/>
  <c r="J18"/>
  <c r="J22"/>
  <c r="L10"/>
  <c r="L16"/>
  <c r="L20"/>
  <c r="H11"/>
  <c r="H17"/>
  <c r="M14"/>
  <c r="J23"/>
  <c r="L11"/>
  <c r="L17"/>
  <c r="M12"/>
  <c r="N12" s="1"/>
  <c r="M19"/>
  <c r="N19" s="1"/>
  <c r="M23"/>
  <c r="H13"/>
  <c r="H18"/>
  <c r="H22"/>
  <c r="I15"/>
  <c r="I24" s="1"/>
  <c r="L13"/>
  <c r="L18"/>
  <c r="L22"/>
  <c r="J19"/>
  <c r="F23"/>
  <c r="F18"/>
  <c r="F13"/>
  <c r="K15"/>
  <c r="K24" s="1"/>
  <c r="D15"/>
  <c r="D24" s="1"/>
  <c r="M10"/>
  <c r="N10" s="1"/>
  <c r="F22"/>
  <c r="F17"/>
  <c r="F11"/>
  <c r="H12"/>
  <c r="J12"/>
  <c r="L12"/>
  <c r="L19"/>
  <c r="G15"/>
  <c r="G24" s="1"/>
  <c r="M17"/>
  <c r="N17" s="1"/>
  <c r="H19"/>
  <c r="H16"/>
  <c r="H20"/>
  <c r="N22" l="1"/>
  <c r="O21"/>
  <c r="O12"/>
  <c r="P12" s="1"/>
  <c r="L24"/>
  <c r="F24"/>
  <c r="J24"/>
  <c r="H24"/>
  <c r="N11"/>
  <c r="M15"/>
  <c r="N15" s="1"/>
  <c r="Q17"/>
  <c r="R17" s="1"/>
  <c r="O18"/>
  <c r="P18" s="1"/>
  <c r="Q11"/>
  <c r="Q13"/>
  <c r="R13" s="1"/>
  <c r="Q20"/>
  <c r="R20" s="1"/>
  <c r="Q16"/>
  <c r="R16" s="1"/>
  <c r="O19"/>
  <c r="P19" s="1"/>
  <c r="F15"/>
  <c r="J15"/>
  <c r="O10"/>
  <c r="P10" s="1"/>
  <c r="L15"/>
  <c r="H15"/>
  <c r="O23"/>
  <c r="P23" s="1"/>
  <c r="N23"/>
  <c r="O14"/>
  <c r="O13"/>
  <c r="P13" s="1"/>
  <c r="Q10"/>
  <c r="R10" s="1"/>
  <c r="Q12"/>
  <c r="R12" s="1"/>
  <c r="O11"/>
  <c r="Q19"/>
  <c r="R19" s="1"/>
  <c r="O17"/>
  <c r="P17" s="1"/>
  <c r="O20"/>
  <c r="P20" s="1"/>
  <c r="Q14"/>
  <c r="Q18"/>
  <c r="R18" s="1"/>
  <c r="Q23"/>
  <c r="R23" s="1"/>
  <c r="O16"/>
  <c r="Q22"/>
  <c r="R22" s="1"/>
  <c r="R11" l="1"/>
  <c r="M24"/>
  <c r="N24" s="1"/>
  <c r="P11"/>
  <c r="Q15"/>
  <c r="R15" s="1"/>
  <c r="P16"/>
  <c r="O15"/>
  <c r="P15" s="1"/>
  <c r="O24" l="1"/>
  <c r="P24" s="1"/>
  <c r="Q24"/>
  <c r="R24" s="1"/>
  <c r="K141" i="1"/>
  <c r="C8" i="7" s="1"/>
  <c r="K140" i="1"/>
  <c r="K137"/>
  <c r="C141" i="6" s="1"/>
  <c r="K136" i="1"/>
  <c r="C139" i="6" s="1"/>
  <c r="K135" i="1"/>
  <c r="C143" i="6" s="1"/>
  <c r="K134" i="1"/>
  <c r="C140" i="6" s="1"/>
  <c r="K133" i="1"/>
  <c r="C142" i="6" s="1"/>
  <c r="K130" i="1"/>
  <c r="C136" i="6" s="1"/>
  <c r="K127" i="1"/>
  <c r="K124"/>
  <c r="C130" i="6" s="1"/>
  <c r="K123" i="1"/>
  <c r="C129" i="6" s="1"/>
  <c r="K121" i="1"/>
  <c r="C127" i="6" s="1"/>
  <c r="K120" i="1"/>
  <c r="C126" i="6" s="1"/>
  <c r="K119" i="1"/>
  <c r="C125" i="6" s="1"/>
  <c r="K118" i="1"/>
  <c r="C124" i="6" s="1"/>
  <c r="K117" i="1"/>
  <c r="C123" i="6" s="1"/>
  <c r="K115" i="1"/>
  <c r="C121" i="6" s="1"/>
  <c r="K114" i="1"/>
  <c r="C120" i="6" s="1"/>
  <c r="K113" i="1"/>
  <c r="C119" i="6" s="1"/>
  <c r="K112" i="1"/>
  <c r="C118" i="6" s="1"/>
  <c r="K111" i="1"/>
  <c r="C117" i="6" s="1"/>
  <c r="K110" i="1"/>
  <c r="C116" i="6" s="1"/>
  <c r="K109" i="1"/>
  <c r="C115" i="6" s="1"/>
  <c r="K108" i="1"/>
  <c r="C114" i="6" s="1"/>
  <c r="K107" i="1"/>
  <c r="C113" i="6" s="1"/>
  <c r="K106" i="1"/>
  <c r="C112" i="6" s="1"/>
  <c r="K105" i="1"/>
  <c r="C111" i="6" s="1"/>
  <c r="K104" i="1"/>
  <c r="C110" i="6" s="1"/>
  <c r="K103" i="1"/>
  <c r="C109" i="6" s="1"/>
  <c r="K101" i="1"/>
  <c r="C107" i="6" s="1"/>
  <c r="K102" i="1"/>
  <c r="C108" i="6" s="1"/>
  <c r="K100" i="1"/>
  <c r="C106" i="6" s="1"/>
  <c r="K99" i="1"/>
  <c r="C105" i="6" s="1"/>
  <c r="K98" i="1"/>
  <c r="C104" i="6" s="1"/>
  <c r="K97" i="1"/>
  <c r="C103" i="6" s="1"/>
  <c r="K96" i="1"/>
  <c r="C102" i="6" s="1"/>
  <c r="K95" i="1"/>
  <c r="C101" i="6" s="1"/>
  <c r="K94" i="1"/>
  <c r="C100" i="6" s="1"/>
  <c r="K93" i="1"/>
  <c r="C99" i="6" s="1"/>
  <c r="K92" i="1"/>
  <c r="C98" i="6" s="1"/>
  <c r="K91" i="1"/>
  <c r="C97" i="6" s="1"/>
  <c r="K90" i="1"/>
  <c r="C96" i="6" s="1"/>
  <c r="K89" i="1"/>
  <c r="C95" i="6" s="1"/>
  <c r="K88" i="1"/>
  <c r="C94" i="6" s="1"/>
  <c r="K87" i="1"/>
  <c r="C93" i="6" s="1"/>
  <c r="K86" i="1"/>
  <c r="C92" i="6" s="1"/>
  <c r="K84" i="1"/>
  <c r="C38" i="6" s="1"/>
  <c r="K83" i="1"/>
  <c r="C37" i="6" s="1"/>
  <c r="K81" i="1"/>
  <c r="C63" i="6" s="1"/>
  <c r="K80" i="1"/>
  <c r="C62" i="6" s="1"/>
  <c r="K78" i="1"/>
  <c r="C81" i="6" s="1"/>
  <c r="K77" i="1"/>
  <c r="C80" i="6" s="1"/>
  <c r="K75" i="1"/>
  <c r="C35" i="6" s="1"/>
  <c r="K74" i="1"/>
  <c r="C34" i="6" s="1"/>
  <c r="K72" i="1"/>
  <c r="C90" i="6" s="1"/>
  <c r="K71" i="1"/>
  <c r="C89" i="6" s="1"/>
  <c r="K69" i="1"/>
  <c r="C57" i="6" s="1"/>
  <c r="K68" i="1"/>
  <c r="C56" i="6" s="1"/>
  <c r="K66" i="1"/>
  <c r="C54" i="6" s="1"/>
  <c r="K65" i="1"/>
  <c r="C53" i="6" s="1"/>
  <c r="K63" i="1"/>
  <c r="C87" i="6" s="1"/>
  <c r="K62" i="1"/>
  <c r="C86" i="6" s="1"/>
  <c r="K60" i="1"/>
  <c r="C60" i="6" s="1"/>
  <c r="K59" i="1"/>
  <c r="C59" i="6" s="1"/>
  <c r="K57" i="1"/>
  <c r="C47" i="6" s="1"/>
  <c r="K56" i="1"/>
  <c r="C46" i="6" s="1"/>
  <c r="K54" i="1"/>
  <c r="C72" i="6" s="1"/>
  <c r="K53" i="1"/>
  <c r="C71" i="6" s="1"/>
  <c r="K51" i="1"/>
  <c r="C75" i="6" s="1"/>
  <c r="K50" i="1"/>
  <c r="C74" i="6" s="1"/>
  <c r="K48" i="1"/>
  <c r="C69" i="6" s="1"/>
  <c r="K47" i="1"/>
  <c r="C68" i="6" s="1"/>
  <c r="K45" i="1"/>
  <c r="C50" i="6" s="1"/>
  <c r="K44" i="1"/>
  <c r="C49" i="6" s="1"/>
  <c r="K42" i="1"/>
  <c r="C41" i="6" s="1"/>
  <c r="K41" i="1"/>
  <c r="C40" i="6" s="1"/>
  <c r="K39" i="1"/>
  <c r="C84" i="6" s="1"/>
  <c r="K38" i="1"/>
  <c r="C83" i="6" s="1"/>
  <c r="K36" i="1"/>
  <c r="C66" i="6" s="1"/>
  <c r="K35" i="1"/>
  <c r="C65" i="6" s="1"/>
  <c r="K33" i="1"/>
  <c r="C44" i="6" s="1"/>
  <c r="K32" i="1"/>
  <c r="C43" i="6" s="1"/>
  <c r="K30" i="1"/>
  <c r="C78" i="6" s="1"/>
  <c r="K29" i="1"/>
  <c r="C77" i="6" s="1"/>
  <c r="K25" i="1"/>
  <c r="C30" i="6" s="1"/>
  <c r="K24" i="1"/>
  <c r="C29" i="6" s="1"/>
  <c r="K23" i="1"/>
  <c r="C28" i="6" s="1"/>
  <c r="K22" i="1"/>
  <c r="C27" i="6" s="1"/>
  <c r="K21" i="1"/>
  <c r="C26" i="6" s="1"/>
  <c r="K20" i="1"/>
  <c r="C25" i="6" s="1"/>
  <c r="K9" i="1"/>
  <c r="C22" i="6" s="1"/>
  <c r="K17" i="1"/>
  <c r="C24" i="6" s="1"/>
  <c r="K19" i="1"/>
  <c r="C15" i="6" s="1"/>
  <c r="K18" i="1"/>
  <c r="C20" i="6" s="1"/>
  <c r="K8" i="1"/>
  <c r="C14" i="6" s="1"/>
  <c r="K14" i="1"/>
  <c r="C17" i="6" s="1"/>
  <c r="K10" i="1"/>
  <c r="C18" i="6" s="1"/>
  <c r="K12" i="1"/>
  <c r="C16" i="6" s="1"/>
  <c r="K16" i="1"/>
  <c r="C13" i="6" s="1"/>
  <c r="K15" i="1"/>
  <c r="C12" i="6" s="1"/>
  <c r="K13" i="1"/>
  <c r="C21" i="6" s="1"/>
  <c r="K11" i="1"/>
  <c r="C19" i="6" s="1"/>
  <c r="K7" i="1"/>
  <c r="K6"/>
  <c r="C23" i="6" s="1"/>
  <c r="F108" i="1"/>
  <c r="F109"/>
  <c r="F110"/>
  <c r="F111"/>
  <c r="F112"/>
  <c r="F113"/>
  <c r="F114"/>
  <c r="F115"/>
  <c r="F94"/>
  <c r="F95"/>
  <c r="F96"/>
  <c r="F97"/>
  <c r="F98"/>
  <c r="F99"/>
  <c r="F100"/>
  <c r="F101"/>
  <c r="F102"/>
  <c r="F103"/>
  <c r="F104"/>
  <c r="F105"/>
  <c r="F106"/>
  <c r="P141"/>
  <c r="P140"/>
  <c r="P137"/>
  <c r="K141" i="6" s="1"/>
  <c r="P136" i="1"/>
  <c r="K139" i="6" s="1"/>
  <c r="P135" i="1"/>
  <c r="K143" i="6" s="1"/>
  <c r="P134" i="1"/>
  <c r="K140" i="6" s="1"/>
  <c r="P133" i="1"/>
  <c r="K142" i="6" s="1"/>
  <c r="P130" i="1"/>
  <c r="K136" i="6" s="1"/>
  <c r="P127" i="1"/>
  <c r="P124"/>
  <c r="K130" i="6" s="1"/>
  <c r="P123" i="1"/>
  <c r="K129" i="6" s="1"/>
  <c r="P121" i="1"/>
  <c r="K127" i="6" s="1"/>
  <c r="P120" i="1"/>
  <c r="K126" i="6" s="1"/>
  <c r="P119" i="1"/>
  <c r="K125" i="6" s="1"/>
  <c r="P118" i="1"/>
  <c r="K124" i="6" s="1"/>
  <c r="P117" i="1"/>
  <c r="K123" i="6" s="1"/>
  <c r="P115" i="1"/>
  <c r="K121" i="6" s="1"/>
  <c r="P114" i="1"/>
  <c r="K120" i="6" s="1"/>
  <c r="P113" i="1"/>
  <c r="K119" i="6" s="1"/>
  <c r="P112" i="1"/>
  <c r="K118" i="6" s="1"/>
  <c r="P111" i="1"/>
  <c r="K117" i="6" s="1"/>
  <c r="P110" i="1"/>
  <c r="K116" i="6" s="1"/>
  <c r="P109" i="1"/>
  <c r="K115" i="6" s="1"/>
  <c r="P108" i="1"/>
  <c r="K114" i="6" s="1"/>
  <c r="P107" i="1"/>
  <c r="K113" i="6" s="1"/>
  <c r="P106" i="1"/>
  <c r="K112" i="6" s="1"/>
  <c r="P105" i="1"/>
  <c r="K111" i="6" s="1"/>
  <c r="P104" i="1"/>
  <c r="K110" i="6" s="1"/>
  <c r="P103" i="1"/>
  <c r="K109" i="6" s="1"/>
  <c r="P102" i="1"/>
  <c r="K108" i="6" s="1"/>
  <c r="P101" i="1"/>
  <c r="K107" i="6" s="1"/>
  <c r="P100" i="1"/>
  <c r="K106" i="6" s="1"/>
  <c r="P99" i="1"/>
  <c r="K105" i="6" s="1"/>
  <c r="P98" i="1"/>
  <c r="K104" i="6" s="1"/>
  <c r="P97" i="1"/>
  <c r="K103" i="6" s="1"/>
  <c r="P96" i="1"/>
  <c r="K102" i="6" s="1"/>
  <c r="P95" i="1"/>
  <c r="K101" i="6" s="1"/>
  <c r="P94" i="1"/>
  <c r="K100" i="6" s="1"/>
  <c r="P93" i="1"/>
  <c r="K99" i="6" s="1"/>
  <c r="P92" i="1"/>
  <c r="K98" i="6" s="1"/>
  <c r="P91" i="1"/>
  <c r="K97" i="6" s="1"/>
  <c r="P90" i="1"/>
  <c r="K96" i="6" s="1"/>
  <c r="P89" i="1"/>
  <c r="K95" i="6" s="1"/>
  <c r="P88" i="1"/>
  <c r="K94" i="6" s="1"/>
  <c r="P87" i="1"/>
  <c r="K93" i="6" s="1"/>
  <c r="P86" i="1"/>
  <c r="K92" i="6" s="1"/>
  <c r="P84" i="1"/>
  <c r="K38" i="6" s="1"/>
  <c r="P83" i="1"/>
  <c r="K37" i="6" s="1"/>
  <c r="P81" i="1"/>
  <c r="K63" i="6" s="1"/>
  <c r="P80" i="1"/>
  <c r="K62" i="6" s="1"/>
  <c r="P78" i="1"/>
  <c r="K81" i="6" s="1"/>
  <c r="P77" i="1"/>
  <c r="K80" i="6" s="1"/>
  <c r="P75" i="1"/>
  <c r="K35" i="6" s="1"/>
  <c r="P74" i="1"/>
  <c r="K34" i="6" s="1"/>
  <c r="P72" i="1"/>
  <c r="K90" i="6" s="1"/>
  <c r="P71" i="1"/>
  <c r="K89" i="6" s="1"/>
  <c r="P69" i="1"/>
  <c r="K57" i="6" s="1"/>
  <c r="P68" i="1"/>
  <c r="K56" i="6" s="1"/>
  <c r="P66" i="1"/>
  <c r="K54" i="6" s="1"/>
  <c r="P65" i="1"/>
  <c r="K53" i="6" s="1"/>
  <c r="P63" i="1"/>
  <c r="K87" i="6" s="1"/>
  <c r="P62" i="1"/>
  <c r="K86" i="6" s="1"/>
  <c r="P60" i="1"/>
  <c r="K60" i="6" s="1"/>
  <c r="P59" i="1"/>
  <c r="K59" i="6" s="1"/>
  <c r="P57" i="1"/>
  <c r="K47" i="6" s="1"/>
  <c r="P56" i="1"/>
  <c r="K46" i="6" s="1"/>
  <c r="P54" i="1"/>
  <c r="K72" i="6" s="1"/>
  <c r="P53" i="1"/>
  <c r="K71" i="6" s="1"/>
  <c r="P51" i="1"/>
  <c r="K75" i="6" s="1"/>
  <c r="P50" i="1"/>
  <c r="K74" i="6" s="1"/>
  <c r="P48" i="1"/>
  <c r="K69" i="6" s="1"/>
  <c r="P47" i="1"/>
  <c r="K68" i="6" s="1"/>
  <c r="P45" i="1"/>
  <c r="K50" i="6" s="1"/>
  <c r="P44" i="1"/>
  <c r="K49" i="6" s="1"/>
  <c r="P42" i="1"/>
  <c r="K41" i="6" s="1"/>
  <c r="P41" i="1"/>
  <c r="K40" i="6" s="1"/>
  <c r="P39" i="1"/>
  <c r="K84" i="6" s="1"/>
  <c r="P38" i="1"/>
  <c r="K83" i="6" s="1"/>
  <c r="P36" i="1"/>
  <c r="K66" i="6" s="1"/>
  <c r="P35" i="1"/>
  <c r="K65" i="6" s="1"/>
  <c r="P33" i="1"/>
  <c r="K44" i="6" s="1"/>
  <c r="P32" i="1"/>
  <c r="K43" i="6" s="1"/>
  <c r="P30" i="1"/>
  <c r="K78" i="6" s="1"/>
  <c r="P29" i="1"/>
  <c r="K77" i="6" s="1"/>
  <c r="P25" i="1"/>
  <c r="K30" i="6" s="1"/>
  <c r="P24" i="1"/>
  <c r="K29" i="6" s="1"/>
  <c r="P23" i="1"/>
  <c r="K28" i="6" s="1"/>
  <c r="P22" i="1"/>
  <c r="K27" i="6" s="1"/>
  <c r="P21" i="1"/>
  <c r="K26" i="6" s="1"/>
  <c r="P20" i="1"/>
  <c r="K25" i="6" s="1"/>
  <c r="P9" i="1"/>
  <c r="K22" i="6" s="1"/>
  <c r="P17" i="1"/>
  <c r="K24" i="6" s="1"/>
  <c r="P19" i="1"/>
  <c r="K15" i="6" s="1"/>
  <c r="P18" i="1"/>
  <c r="K20" i="6" s="1"/>
  <c r="P8" i="1"/>
  <c r="K14" i="6" s="1"/>
  <c r="P14" i="1"/>
  <c r="K17" i="6" s="1"/>
  <c r="P10" i="1"/>
  <c r="K18" i="6" s="1"/>
  <c r="P12" i="1"/>
  <c r="K16" i="6" s="1"/>
  <c r="P16" i="1"/>
  <c r="K13" i="6" s="1"/>
  <c r="P15" i="1"/>
  <c r="K12" i="6" s="1"/>
  <c r="P13" i="1"/>
  <c r="K21" i="6" s="1"/>
  <c r="P11" i="1"/>
  <c r="K19" i="6" s="1"/>
  <c r="P7" i="1"/>
  <c r="P6"/>
  <c r="K23" i="6" s="1"/>
  <c r="O141" i="1"/>
  <c r="I8" i="7" s="1"/>
  <c r="O140" i="1"/>
  <c r="O137"/>
  <c r="I141" i="6" s="1"/>
  <c r="O136" i="1"/>
  <c r="I139" i="6" s="1"/>
  <c r="O135" i="1"/>
  <c r="I143" i="6" s="1"/>
  <c r="O134" i="1"/>
  <c r="I140" i="6" s="1"/>
  <c r="O133" i="1"/>
  <c r="I142" i="6" s="1"/>
  <c r="O130" i="1"/>
  <c r="I136" i="6" s="1"/>
  <c r="O127" i="1"/>
  <c r="O124"/>
  <c r="I130" i="6" s="1"/>
  <c r="O123" i="1"/>
  <c r="I129" i="6" s="1"/>
  <c r="O121" i="1"/>
  <c r="I127" i="6" s="1"/>
  <c r="O120" i="1"/>
  <c r="I126" i="6" s="1"/>
  <c r="O119" i="1"/>
  <c r="I125" i="6" s="1"/>
  <c r="O118" i="1"/>
  <c r="I124" i="6" s="1"/>
  <c r="O117" i="1"/>
  <c r="I123" i="6" s="1"/>
  <c r="O115" i="1"/>
  <c r="I121" i="6" s="1"/>
  <c r="O114" i="1"/>
  <c r="I120" i="6" s="1"/>
  <c r="O113" i="1"/>
  <c r="I119" i="6" s="1"/>
  <c r="O112" i="1"/>
  <c r="I118" i="6" s="1"/>
  <c r="O111" i="1"/>
  <c r="I117" i="6" s="1"/>
  <c r="O110" i="1"/>
  <c r="I116" i="6" s="1"/>
  <c r="O109" i="1"/>
  <c r="I115" i="6" s="1"/>
  <c r="O108" i="1"/>
  <c r="I114" i="6" s="1"/>
  <c r="O107" i="1"/>
  <c r="I113" i="6" s="1"/>
  <c r="O106" i="1"/>
  <c r="I112" i="6" s="1"/>
  <c r="O105" i="1"/>
  <c r="I111" i="6" s="1"/>
  <c r="O104" i="1"/>
  <c r="I110" i="6" s="1"/>
  <c r="O103" i="1"/>
  <c r="I109" i="6" s="1"/>
  <c r="O102" i="1"/>
  <c r="I108" i="6" s="1"/>
  <c r="O101" i="1"/>
  <c r="I107" i="6" s="1"/>
  <c r="O100" i="1"/>
  <c r="I106" i="6" s="1"/>
  <c r="O99" i="1"/>
  <c r="I105" i="6" s="1"/>
  <c r="O98" i="1"/>
  <c r="I104" i="6" s="1"/>
  <c r="O97" i="1"/>
  <c r="I103" i="6" s="1"/>
  <c r="O96" i="1"/>
  <c r="I102" i="6" s="1"/>
  <c r="O95" i="1"/>
  <c r="I101" i="6" s="1"/>
  <c r="O94" i="1"/>
  <c r="I100" i="6" s="1"/>
  <c r="O93" i="1"/>
  <c r="I99" i="6" s="1"/>
  <c r="O92" i="1"/>
  <c r="I98" i="6" s="1"/>
  <c r="O91" i="1"/>
  <c r="I97" i="6" s="1"/>
  <c r="O90" i="1"/>
  <c r="I96" i="6" s="1"/>
  <c r="O89" i="1"/>
  <c r="I95" i="6" s="1"/>
  <c r="O88" i="1"/>
  <c r="I94" i="6" s="1"/>
  <c r="O87" i="1"/>
  <c r="I93" i="6" s="1"/>
  <c r="O86" i="1"/>
  <c r="I92" i="6" s="1"/>
  <c r="O84" i="1"/>
  <c r="I38" i="6" s="1"/>
  <c r="O83" i="1"/>
  <c r="I37" i="6" s="1"/>
  <c r="O81" i="1"/>
  <c r="I63" i="6" s="1"/>
  <c r="O80" i="1"/>
  <c r="I62" i="6" s="1"/>
  <c r="O78" i="1"/>
  <c r="I81" i="6" s="1"/>
  <c r="O77" i="1"/>
  <c r="I80" i="6" s="1"/>
  <c r="O75" i="1"/>
  <c r="I35" i="6" s="1"/>
  <c r="O74" i="1"/>
  <c r="I34" i="6" s="1"/>
  <c r="O72" i="1"/>
  <c r="I90" i="6" s="1"/>
  <c r="O71" i="1"/>
  <c r="I89" i="6" s="1"/>
  <c r="O69" i="1"/>
  <c r="I57" i="6" s="1"/>
  <c r="O68" i="1"/>
  <c r="I56" i="6" s="1"/>
  <c r="O66" i="1"/>
  <c r="I54" i="6" s="1"/>
  <c r="O65" i="1"/>
  <c r="I53" i="6" s="1"/>
  <c r="O63" i="1"/>
  <c r="I87" i="6" s="1"/>
  <c r="O62" i="1"/>
  <c r="I86" i="6" s="1"/>
  <c r="O60" i="1"/>
  <c r="I60" i="6" s="1"/>
  <c r="O59" i="1"/>
  <c r="I59" i="6" s="1"/>
  <c r="O57" i="1"/>
  <c r="I47" i="6" s="1"/>
  <c r="O56" i="1"/>
  <c r="I46" i="6" s="1"/>
  <c r="O54" i="1"/>
  <c r="I72" i="6" s="1"/>
  <c r="O53" i="1"/>
  <c r="I71" i="6" s="1"/>
  <c r="O51" i="1"/>
  <c r="I75" i="6" s="1"/>
  <c r="O50" i="1"/>
  <c r="I74" i="6" s="1"/>
  <c r="O48" i="1"/>
  <c r="I69" i="6" s="1"/>
  <c r="O47" i="1"/>
  <c r="I68" i="6" s="1"/>
  <c r="O45" i="1"/>
  <c r="I50" i="6" s="1"/>
  <c r="O44" i="1"/>
  <c r="I49" i="6" s="1"/>
  <c r="O42" i="1"/>
  <c r="I41" i="6" s="1"/>
  <c r="O41" i="1"/>
  <c r="I40" i="6" s="1"/>
  <c r="O39" i="1"/>
  <c r="I84" i="6" s="1"/>
  <c r="O38" i="1"/>
  <c r="I83" i="6" s="1"/>
  <c r="O36" i="1"/>
  <c r="I66" i="6" s="1"/>
  <c r="O35" i="1"/>
  <c r="I65" i="6" s="1"/>
  <c r="O33" i="1"/>
  <c r="I44" i="6" s="1"/>
  <c r="O32" i="1"/>
  <c r="I43" i="6" s="1"/>
  <c r="O30" i="1"/>
  <c r="I78" i="6" s="1"/>
  <c r="O29" i="1"/>
  <c r="I77" i="6" s="1"/>
  <c r="O25" i="1"/>
  <c r="I30" i="6" s="1"/>
  <c r="O24" i="1"/>
  <c r="I29" i="6" s="1"/>
  <c r="O23" i="1"/>
  <c r="I28" i="6" s="1"/>
  <c r="O22" i="1"/>
  <c r="I27" i="6" s="1"/>
  <c r="O21" i="1"/>
  <c r="I26" i="6" s="1"/>
  <c r="O20" i="1"/>
  <c r="I25" i="6" s="1"/>
  <c r="O9" i="1"/>
  <c r="I22" i="6" s="1"/>
  <c r="O17" i="1"/>
  <c r="I24" i="6" s="1"/>
  <c r="O19" i="1"/>
  <c r="I15" i="6" s="1"/>
  <c r="O18" i="1"/>
  <c r="I20" i="6" s="1"/>
  <c r="O8" i="1"/>
  <c r="I14" i="6" s="1"/>
  <c r="O14" i="1"/>
  <c r="I17" i="6" s="1"/>
  <c r="O10" i="1"/>
  <c r="I18" i="6" s="1"/>
  <c r="O12" i="1"/>
  <c r="I16" i="6" s="1"/>
  <c r="O16" i="1"/>
  <c r="I13" i="6" s="1"/>
  <c r="O15" i="1"/>
  <c r="I12" i="6" s="1"/>
  <c r="O13" i="1"/>
  <c r="I21" i="6" s="1"/>
  <c r="O11" i="1"/>
  <c r="I19" i="6" s="1"/>
  <c r="O7" i="1"/>
  <c r="O6"/>
  <c r="I23" i="6" s="1"/>
  <c r="N141" i="1"/>
  <c r="G8" i="7" s="1"/>
  <c r="N140" i="1"/>
  <c r="N137"/>
  <c r="G141" i="6" s="1"/>
  <c r="N136" i="1"/>
  <c r="G139" i="6" s="1"/>
  <c r="N135" i="1"/>
  <c r="G143" i="6" s="1"/>
  <c r="N134" i="1"/>
  <c r="G140" i="6" s="1"/>
  <c r="N133" i="1"/>
  <c r="G142" i="6" s="1"/>
  <c r="N130" i="1"/>
  <c r="G136" i="6" s="1"/>
  <c r="N127" i="1"/>
  <c r="N124"/>
  <c r="G130" i="6" s="1"/>
  <c r="N123" i="1"/>
  <c r="G129" i="6" s="1"/>
  <c r="N121" i="1"/>
  <c r="G127" i="6" s="1"/>
  <c r="N120" i="1"/>
  <c r="G126" i="6" s="1"/>
  <c r="N119" i="1"/>
  <c r="G125" i="6" s="1"/>
  <c r="N118" i="1"/>
  <c r="G124" i="6" s="1"/>
  <c r="N117" i="1"/>
  <c r="G123" i="6" s="1"/>
  <c r="N115" i="1"/>
  <c r="G121" i="6" s="1"/>
  <c r="N114" i="1"/>
  <c r="G120" i="6" s="1"/>
  <c r="N113" i="1"/>
  <c r="G119" i="6" s="1"/>
  <c r="N112" i="1"/>
  <c r="G118" i="6" s="1"/>
  <c r="N111" i="1"/>
  <c r="G117" i="6" s="1"/>
  <c r="N110" i="1"/>
  <c r="G116" i="6" s="1"/>
  <c r="N109" i="1"/>
  <c r="G115" i="6" s="1"/>
  <c r="N108" i="1"/>
  <c r="G114" i="6" s="1"/>
  <c r="N107" i="1"/>
  <c r="G113" i="6" s="1"/>
  <c r="N106" i="1"/>
  <c r="G112" i="6" s="1"/>
  <c r="N105" i="1"/>
  <c r="G111" i="6" s="1"/>
  <c r="N104" i="1"/>
  <c r="G110" i="6" s="1"/>
  <c r="N103" i="1"/>
  <c r="G109" i="6" s="1"/>
  <c r="N102" i="1"/>
  <c r="G108" i="6" s="1"/>
  <c r="N101" i="1"/>
  <c r="G107" i="6" s="1"/>
  <c r="N100" i="1"/>
  <c r="G106" i="6" s="1"/>
  <c r="N99" i="1"/>
  <c r="G105" i="6" s="1"/>
  <c r="N98" i="1"/>
  <c r="G104" i="6" s="1"/>
  <c r="N97" i="1"/>
  <c r="G103" i="6" s="1"/>
  <c r="N96" i="1"/>
  <c r="G102" i="6" s="1"/>
  <c r="N95" i="1"/>
  <c r="G101" i="6" s="1"/>
  <c r="N94" i="1"/>
  <c r="G100" i="6" s="1"/>
  <c r="N93" i="1"/>
  <c r="G99" i="6" s="1"/>
  <c r="N92" i="1"/>
  <c r="G98" i="6" s="1"/>
  <c r="N91" i="1"/>
  <c r="G97" i="6" s="1"/>
  <c r="N90" i="1"/>
  <c r="G96" i="6" s="1"/>
  <c r="N89" i="1"/>
  <c r="G95" i="6" s="1"/>
  <c r="N88" i="1"/>
  <c r="G94" i="6" s="1"/>
  <c r="N87" i="1"/>
  <c r="G93" i="6" s="1"/>
  <c r="N86" i="1"/>
  <c r="G92" i="6" s="1"/>
  <c r="N84" i="1"/>
  <c r="G38" i="6" s="1"/>
  <c r="N83" i="1"/>
  <c r="G37" i="6" s="1"/>
  <c r="N81" i="1"/>
  <c r="G63" i="6" s="1"/>
  <c r="N80" i="1"/>
  <c r="G62" i="6" s="1"/>
  <c r="N78" i="1"/>
  <c r="G81" i="6" s="1"/>
  <c r="N77" i="1"/>
  <c r="G80" i="6" s="1"/>
  <c r="N75" i="1"/>
  <c r="G35" i="6" s="1"/>
  <c r="N74" i="1"/>
  <c r="G34" i="6" s="1"/>
  <c r="N72" i="1"/>
  <c r="G90" i="6" s="1"/>
  <c r="N71" i="1"/>
  <c r="G89" i="6" s="1"/>
  <c r="N69" i="1"/>
  <c r="G57" i="6" s="1"/>
  <c r="N68" i="1"/>
  <c r="G56" i="6" s="1"/>
  <c r="N66" i="1"/>
  <c r="G54" i="6" s="1"/>
  <c r="N65" i="1"/>
  <c r="G53" i="6" s="1"/>
  <c r="N63" i="1"/>
  <c r="G87" i="6" s="1"/>
  <c r="N62" i="1"/>
  <c r="G86" i="6" s="1"/>
  <c r="N60" i="1"/>
  <c r="G60" i="6" s="1"/>
  <c r="N59" i="1"/>
  <c r="G59" i="6" s="1"/>
  <c r="N57" i="1"/>
  <c r="G47" i="6" s="1"/>
  <c r="N56" i="1"/>
  <c r="G46" i="6" s="1"/>
  <c r="N54" i="1"/>
  <c r="G72" i="6" s="1"/>
  <c r="N53" i="1"/>
  <c r="G71" i="6" s="1"/>
  <c r="N51" i="1"/>
  <c r="G75" i="6" s="1"/>
  <c r="N50" i="1"/>
  <c r="G74" i="6" s="1"/>
  <c r="N48" i="1"/>
  <c r="G69" i="6" s="1"/>
  <c r="N47" i="1"/>
  <c r="G68" i="6" s="1"/>
  <c r="N45" i="1"/>
  <c r="G50" i="6" s="1"/>
  <c r="N44" i="1"/>
  <c r="G49" i="6" s="1"/>
  <c r="N42" i="1"/>
  <c r="G41" i="6" s="1"/>
  <c r="N41" i="1"/>
  <c r="G40" i="6" s="1"/>
  <c r="N39" i="1"/>
  <c r="G84" i="6" s="1"/>
  <c r="N38" i="1"/>
  <c r="G83" i="6" s="1"/>
  <c r="N36" i="1"/>
  <c r="G66" i="6" s="1"/>
  <c r="N35" i="1"/>
  <c r="G65" i="6" s="1"/>
  <c r="N33" i="1"/>
  <c r="G44" i="6" s="1"/>
  <c r="N32" i="1"/>
  <c r="G43" i="6" s="1"/>
  <c r="N30" i="1"/>
  <c r="G78" i="6" s="1"/>
  <c r="N29" i="1"/>
  <c r="G77" i="6" s="1"/>
  <c r="N25" i="1"/>
  <c r="G30" i="6" s="1"/>
  <c r="N24" i="1"/>
  <c r="G29" i="6" s="1"/>
  <c r="N23" i="1"/>
  <c r="G28" i="6" s="1"/>
  <c r="N22" i="1"/>
  <c r="G27" i="6" s="1"/>
  <c r="N21" i="1"/>
  <c r="G26" i="6" s="1"/>
  <c r="N20" i="1"/>
  <c r="G25" i="6" s="1"/>
  <c r="N9" i="1"/>
  <c r="G22" i="6" s="1"/>
  <c r="N17" i="1"/>
  <c r="G24" i="6" s="1"/>
  <c r="N19" i="1"/>
  <c r="G15" i="6" s="1"/>
  <c r="N18" i="1"/>
  <c r="G20" i="6" s="1"/>
  <c r="N8" i="1"/>
  <c r="G14" i="6" s="1"/>
  <c r="N14" i="1"/>
  <c r="G17" i="6" s="1"/>
  <c r="N10" i="1"/>
  <c r="G18" i="6" s="1"/>
  <c r="N12" i="1"/>
  <c r="G16" i="6" s="1"/>
  <c r="N16" i="1"/>
  <c r="G13" i="6" s="1"/>
  <c r="N15" i="1"/>
  <c r="G12" i="6" s="1"/>
  <c r="N13" i="1"/>
  <c r="G21" i="6" s="1"/>
  <c r="N11" i="1"/>
  <c r="G19" i="6" s="1"/>
  <c r="N7" i="1"/>
  <c r="N6"/>
  <c r="G23" i="6" s="1"/>
  <c r="M141" i="1"/>
  <c r="E8" i="7" s="1"/>
  <c r="M140" i="1"/>
  <c r="M137"/>
  <c r="E141" i="6" s="1"/>
  <c r="M136" i="1"/>
  <c r="E139" i="6" s="1"/>
  <c r="M135" i="1"/>
  <c r="E143" i="6" s="1"/>
  <c r="M134" i="1"/>
  <c r="E140" i="6" s="1"/>
  <c r="M133" i="1"/>
  <c r="E142" i="6" s="1"/>
  <c r="M142" s="1"/>
  <c r="M130" i="1"/>
  <c r="E136" i="6" s="1"/>
  <c r="M127" i="1"/>
  <c r="M124"/>
  <c r="E130" i="6" s="1"/>
  <c r="M123" i="1"/>
  <c r="E129" i="6" s="1"/>
  <c r="M121" i="1"/>
  <c r="E127" i="6" s="1"/>
  <c r="M120" i="1"/>
  <c r="E126" i="6" s="1"/>
  <c r="M119" i="1"/>
  <c r="E125" i="6" s="1"/>
  <c r="M118" i="1"/>
  <c r="E124" i="6" s="1"/>
  <c r="M117" i="1"/>
  <c r="E123" i="6" s="1"/>
  <c r="M115" i="1"/>
  <c r="E121" i="6" s="1"/>
  <c r="M114" i="1"/>
  <c r="E120" i="6" s="1"/>
  <c r="M113" i="1"/>
  <c r="E119" i="6" s="1"/>
  <c r="M112" i="1"/>
  <c r="E118" i="6" s="1"/>
  <c r="M111" i="1"/>
  <c r="E117" i="6" s="1"/>
  <c r="M110" i="1"/>
  <c r="E116" i="6" s="1"/>
  <c r="M109" i="1"/>
  <c r="E115" i="6" s="1"/>
  <c r="M108" i="1"/>
  <c r="E114" i="6" s="1"/>
  <c r="M107" i="1"/>
  <c r="E113" i="6" s="1"/>
  <c r="M106" i="1"/>
  <c r="E112" i="6" s="1"/>
  <c r="M105" i="1"/>
  <c r="E111" i="6" s="1"/>
  <c r="M104" i="1"/>
  <c r="E110" i="6" s="1"/>
  <c r="M103" i="1"/>
  <c r="E109" i="6" s="1"/>
  <c r="M102" i="1"/>
  <c r="E108" i="6" s="1"/>
  <c r="M101" i="1"/>
  <c r="E107" i="6" s="1"/>
  <c r="M100" i="1"/>
  <c r="E106" i="6" s="1"/>
  <c r="M99" i="1"/>
  <c r="E105" i="6" s="1"/>
  <c r="M98" i="1"/>
  <c r="E104" i="6" s="1"/>
  <c r="M97" i="1"/>
  <c r="E103" i="6" s="1"/>
  <c r="M96" i="1"/>
  <c r="E102" i="6" s="1"/>
  <c r="M95" i="1"/>
  <c r="E101" i="6" s="1"/>
  <c r="M94" i="1"/>
  <c r="E100" i="6" s="1"/>
  <c r="M93" i="1"/>
  <c r="E99" i="6" s="1"/>
  <c r="M92" i="1"/>
  <c r="E98" i="6" s="1"/>
  <c r="M91" i="1"/>
  <c r="E97" i="6" s="1"/>
  <c r="M90" i="1"/>
  <c r="E96" i="6" s="1"/>
  <c r="M89" i="1"/>
  <c r="E95" i="6" s="1"/>
  <c r="M88" i="1"/>
  <c r="E94" i="6" s="1"/>
  <c r="M87" i="1"/>
  <c r="E93" i="6" s="1"/>
  <c r="M86" i="1"/>
  <c r="E92" i="6" s="1"/>
  <c r="M84" i="1"/>
  <c r="E38" i="6" s="1"/>
  <c r="M83" i="1"/>
  <c r="E37" i="6" s="1"/>
  <c r="M81" i="1"/>
  <c r="E63" i="6" s="1"/>
  <c r="M80" i="1"/>
  <c r="E62" i="6" s="1"/>
  <c r="M78" i="1"/>
  <c r="E81" i="6" s="1"/>
  <c r="M77" i="1"/>
  <c r="E80" i="6" s="1"/>
  <c r="M75" i="1"/>
  <c r="E35" i="6" s="1"/>
  <c r="M74" i="1"/>
  <c r="E34" i="6" s="1"/>
  <c r="M72" i="1"/>
  <c r="E90" i="6" s="1"/>
  <c r="M71" i="1"/>
  <c r="E89" i="6" s="1"/>
  <c r="M69" i="1"/>
  <c r="E57" i="6" s="1"/>
  <c r="M68" i="1"/>
  <c r="E56" i="6" s="1"/>
  <c r="M66" i="1"/>
  <c r="E54" i="6" s="1"/>
  <c r="M65" i="1"/>
  <c r="E53" i="6" s="1"/>
  <c r="M63" i="1"/>
  <c r="E87" i="6" s="1"/>
  <c r="M62" i="1"/>
  <c r="E86" i="6" s="1"/>
  <c r="M60" i="1"/>
  <c r="E60" i="6" s="1"/>
  <c r="M59" i="1"/>
  <c r="E59" i="6" s="1"/>
  <c r="M57" i="1"/>
  <c r="E47" i="6" s="1"/>
  <c r="M56" i="1"/>
  <c r="E46" i="6" s="1"/>
  <c r="M54" i="1"/>
  <c r="E72" i="6" s="1"/>
  <c r="M53" i="1"/>
  <c r="E71" i="6" s="1"/>
  <c r="M51" i="1"/>
  <c r="E75" i="6" s="1"/>
  <c r="M50" i="1"/>
  <c r="E74" i="6" s="1"/>
  <c r="M48" i="1"/>
  <c r="E69" i="6" s="1"/>
  <c r="M47" i="1"/>
  <c r="E68" i="6" s="1"/>
  <c r="M45" i="1"/>
  <c r="E50" i="6" s="1"/>
  <c r="M44" i="1"/>
  <c r="E49" i="6" s="1"/>
  <c r="M42" i="1"/>
  <c r="E41" i="6" s="1"/>
  <c r="M41" i="1"/>
  <c r="E40" i="6" s="1"/>
  <c r="M39" i="1"/>
  <c r="E84" i="6" s="1"/>
  <c r="M38" i="1"/>
  <c r="E83" i="6" s="1"/>
  <c r="M36" i="1"/>
  <c r="E66" i="6" s="1"/>
  <c r="M35" i="1"/>
  <c r="E65" i="6" s="1"/>
  <c r="M33" i="1"/>
  <c r="E44" i="6" s="1"/>
  <c r="M32" i="1"/>
  <c r="E43" i="6" s="1"/>
  <c r="M30" i="1"/>
  <c r="E78" i="6" s="1"/>
  <c r="M29" i="1"/>
  <c r="E77" i="6" s="1"/>
  <c r="M25" i="1"/>
  <c r="E30" i="6" s="1"/>
  <c r="M24" i="1"/>
  <c r="E29" i="6" s="1"/>
  <c r="M23" i="1"/>
  <c r="E28" i="6" s="1"/>
  <c r="M22" i="1"/>
  <c r="E27" i="6" s="1"/>
  <c r="M21" i="1"/>
  <c r="E26" i="6" s="1"/>
  <c r="M20" i="1"/>
  <c r="E25" i="6" s="1"/>
  <c r="M9" i="1"/>
  <c r="E22" i="6" s="1"/>
  <c r="M17" i="1"/>
  <c r="E24" i="6" s="1"/>
  <c r="M19" i="1"/>
  <c r="E15" i="6" s="1"/>
  <c r="M18" i="1"/>
  <c r="E20" i="6" s="1"/>
  <c r="M8" i="1"/>
  <c r="E14" i="6" s="1"/>
  <c r="M14" i="1"/>
  <c r="E17" i="6" s="1"/>
  <c r="M10" i="1"/>
  <c r="E18" i="6" s="1"/>
  <c r="M12" i="1"/>
  <c r="E16" i="6" s="1"/>
  <c r="M16" i="1"/>
  <c r="E13" i="6" s="1"/>
  <c r="M15" i="1"/>
  <c r="E12" i="6" s="1"/>
  <c r="M13" i="1"/>
  <c r="E21" i="6" s="1"/>
  <c r="M11" i="1"/>
  <c r="E19" i="6" s="1"/>
  <c r="M7" i="1"/>
  <c r="M6"/>
  <c r="E23" i="6" s="1"/>
  <c r="J141" i="1"/>
  <c r="J140"/>
  <c r="J137"/>
  <c r="J136"/>
  <c r="J135"/>
  <c r="J134"/>
  <c r="J133"/>
  <c r="J130"/>
  <c r="J127"/>
  <c r="J124"/>
  <c r="J123"/>
  <c r="J121"/>
  <c r="J120"/>
  <c r="J119"/>
  <c r="J118"/>
  <c r="J117"/>
  <c r="J115"/>
  <c r="J114"/>
  <c r="J113"/>
  <c r="J112"/>
  <c r="J111"/>
  <c r="J110"/>
  <c r="J109"/>
  <c r="J108"/>
  <c r="J107"/>
  <c r="J106"/>
  <c r="J105"/>
  <c r="K8" i="7" l="1"/>
  <c r="M8" s="1"/>
  <c r="Q142" i="6"/>
  <c r="R142" s="1"/>
  <c r="E36" i="9"/>
  <c r="E36" i="12"/>
  <c r="G36" i="9"/>
  <c r="G36" i="12"/>
  <c r="I36" i="9"/>
  <c r="I36" i="12"/>
  <c r="K36"/>
  <c r="K36" i="9"/>
  <c r="C36"/>
  <c r="C36" i="12"/>
  <c r="C9" i="7"/>
  <c r="C47" i="12" s="1"/>
  <c r="E9" i="7"/>
  <c r="E8" i="13" s="1"/>
  <c r="G9" i="7"/>
  <c r="G47" i="12" s="1"/>
  <c r="I9" i="7"/>
  <c r="I113" i="9" s="1"/>
  <c r="K9" i="7"/>
  <c r="K47" i="12" s="1"/>
  <c r="E11"/>
  <c r="E11" i="9"/>
  <c r="G11"/>
  <c r="G11" i="12"/>
  <c r="I11"/>
  <c r="I11" i="9"/>
  <c r="K11"/>
  <c r="K11" i="12"/>
  <c r="G12" i="9"/>
  <c r="G12" i="12"/>
  <c r="I12"/>
  <c r="I12" i="9"/>
  <c r="K12"/>
  <c r="K12" i="12"/>
  <c r="C11" i="9"/>
  <c r="C11" i="12"/>
  <c r="E12"/>
  <c r="E12" i="9"/>
  <c r="C12"/>
  <c r="C12" i="12"/>
  <c r="G70" i="9"/>
  <c r="G72" i="12"/>
  <c r="I70" i="9"/>
  <c r="I72" i="12"/>
  <c r="K72"/>
  <c r="K70" i="9"/>
  <c r="C70"/>
  <c r="C72" i="12"/>
  <c r="C71"/>
  <c r="C69" i="9"/>
  <c r="E72" i="12"/>
  <c r="E70" i="9"/>
  <c r="E71" i="12"/>
  <c r="E69" i="9"/>
  <c r="G71" i="12"/>
  <c r="G69" i="9"/>
  <c r="I71" i="12"/>
  <c r="I69" i="9"/>
  <c r="K69"/>
  <c r="K71" i="12"/>
  <c r="E48" i="9"/>
  <c r="E49" i="12"/>
  <c r="G49"/>
  <c r="G48" i="9"/>
  <c r="I49" i="12"/>
  <c r="I48" i="9"/>
  <c r="K49" i="12"/>
  <c r="K48" i="9"/>
  <c r="E50" i="12"/>
  <c r="E49" i="9"/>
  <c r="G50" i="12"/>
  <c r="G49" i="9"/>
  <c r="I49"/>
  <c r="I50" i="12"/>
  <c r="K49" i="9"/>
  <c r="K50" i="12"/>
  <c r="C48" i="9"/>
  <c r="C49" i="12"/>
  <c r="C49" i="9"/>
  <c r="C50" i="12"/>
  <c r="C27" i="9"/>
  <c r="C27" i="12"/>
  <c r="G27"/>
  <c r="G27" i="9"/>
  <c r="K27"/>
  <c r="K27" i="12"/>
  <c r="C26" i="9"/>
  <c r="C26" i="12"/>
  <c r="E27" i="9"/>
  <c r="E27" i="12"/>
  <c r="I27"/>
  <c r="I27" i="9"/>
  <c r="E26" i="12"/>
  <c r="E26" i="9"/>
  <c r="G26"/>
  <c r="G26" i="12"/>
  <c r="I26"/>
  <c r="I26" i="9"/>
  <c r="K26"/>
  <c r="K26" i="12"/>
  <c r="K66"/>
  <c r="K61" i="9"/>
  <c r="C60"/>
  <c r="C65" i="12"/>
  <c r="E61" i="9"/>
  <c r="E66" i="12"/>
  <c r="G66"/>
  <c r="G61" i="9"/>
  <c r="C61"/>
  <c r="C66" i="12"/>
  <c r="I66"/>
  <c r="I61" i="9"/>
  <c r="E65" i="12"/>
  <c r="E60" i="9"/>
  <c r="G60"/>
  <c r="G65" i="12"/>
  <c r="I60" i="9"/>
  <c r="I65" i="12"/>
  <c r="K65"/>
  <c r="K60" i="9"/>
  <c r="K60" i="12"/>
  <c r="K9" i="13"/>
  <c r="E58" i="12"/>
  <c r="E66" i="9"/>
  <c r="G58" i="12"/>
  <c r="G66" i="9"/>
  <c r="I58" i="12"/>
  <c r="I66" i="9"/>
  <c r="K58" i="12"/>
  <c r="K66" i="9"/>
  <c r="C60" i="12"/>
  <c r="C9" i="13"/>
  <c r="E60" i="12"/>
  <c r="E9" i="13"/>
  <c r="E67" i="9"/>
  <c r="E59" i="12"/>
  <c r="G59"/>
  <c r="G67" i="9"/>
  <c r="I67"/>
  <c r="I59" i="12"/>
  <c r="K59"/>
  <c r="K67" i="9"/>
  <c r="C58" i="12"/>
  <c r="C66" i="9"/>
  <c r="G60" i="12"/>
  <c r="G9" i="13"/>
  <c r="I60" i="12"/>
  <c r="I9" i="13"/>
  <c r="C67" i="9"/>
  <c r="C59" i="12"/>
  <c r="E45"/>
  <c r="G45"/>
  <c r="I45"/>
  <c r="K45"/>
  <c r="C45"/>
  <c r="I55" i="9"/>
  <c r="K55"/>
  <c r="C54"/>
  <c r="C55"/>
  <c r="E55"/>
  <c r="G55"/>
  <c r="E54"/>
  <c r="G54"/>
  <c r="I54"/>
  <c r="K54"/>
  <c r="E39" i="12"/>
  <c r="E39" i="9"/>
  <c r="G39"/>
  <c r="G39" i="12"/>
  <c r="I39"/>
  <c r="I39" i="9"/>
  <c r="K39"/>
  <c r="K39" i="12"/>
  <c r="E40"/>
  <c r="E40" i="9"/>
  <c r="G40"/>
  <c r="G40" i="12"/>
  <c r="I40"/>
  <c r="I40" i="9"/>
  <c r="K40"/>
  <c r="K40" i="12"/>
  <c r="C39" i="9"/>
  <c r="C39" i="12"/>
  <c r="C40" i="9"/>
  <c r="C40" i="12"/>
  <c r="E37" i="9"/>
  <c r="E37" i="12"/>
  <c r="G37"/>
  <c r="G37" i="9"/>
  <c r="I37" i="12"/>
  <c r="I37" i="9"/>
  <c r="K37"/>
  <c r="K37" i="12"/>
  <c r="C37" i="9"/>
  <c r="C37" i="12"/>
  <c r="E18"/>
  <c r="E18" i="9"/>
  <c r="G18"/>
  <c r="G18" i="12"/>
  <c r="I18"/>
  <c r="I18" i="9"/>
  <c r="K18"/>
  <c r="K18" i="12"/>
  <c r="C17" i="9"/>
  <c r="C17" i="12"/>
  <c r="E17" i="9"/>
  <c r="E17" i="12"/>
  <c r="C18" i="9"/>
  <c r="C18" i="12"/>
  <c r="G17" i="9"/>
  <c r="G17" i="12"/>
  <c r="I17"/>
  <c r="I17" i="9"/>
  <c r="K17"/>
  <c r="K17" i="12"/>
  <c r="E42"/>
  <c r="E45" i="9"/>
  <c r="G42" i="12"/>
  <c r="G45" i="9"/>
  <c r="I45"/>
  <c r="I42" i="12"/>
  <c r="K45" i="9"/>
  <c r="K42" i="12"/>
  <c r="E43"/>
  <c r="E46" i="9"/>
  <c r="G46"/>
  <c r="G43" i="12"/>
  <c r="I43"/>
  <c r="I46" i="9"/>
  <c r="K43" i="12"/>
  <c r="K46" i="9"/>
  <c r="C45"/>
  <c r="C42" i="12"/>
  <c r="C46" i="9"/>
  <c r="C43" i="12"/>
  <c r="G21" i="9"/>
  <c r="G21" i="12"/>
  <c r="K21"/>
  <c r="K21" i="9"/>
  <c r="C20" i="12"/>
  <c r="C20" i="9"/>
  <c r="C21"/>
  <c r="C21" i="12"/>
  <c r="E21" i="9"/>
  <c r="E21" i="12"/>
  <c r="I21"/>
  <c r="I21" i="9"/>
  <c r="E20" i="12"/>
  <c r="E20" i="9"/>
  <c r="G20" i="12"/>
  <c r="G20" i="9"/>
  <c r="I20" i="12"/>
  <c r="I20" i="9"/>
  <c r="K20"/>
  <c r="K20" i="12"/>
  <c r="I15" i="9"/>
  <c r="I15" i="12"/>
  <c r="K15"/>
  <c r="K15" i="9"/>
  <c r="C14" i="12"/>
  <c r="C14" i="9"/>
  <c r="E14" i="12"/>
  <c r="E14" i="9"/>
  <c r="M40" i="6"/>
  <c r="G14" i="9"/>
  <c r="G14" i="12"/>
  <c r="I14"/>
  <c r="I14" i="9"/>
  <c r="K14"/>
  <c r="K14" i="12"/>
  <c r="E15" i="9"/>
  <c r="E15" i="12"/>
  <c r="M41" i="6"/>
  <c r="G15" i="12"/>
  <c r="G15" i="9"/>
  <c r="C15"/>
  <c r="C15" i="12"/>
  <c r="E30" i="9"/>
  <c r="E30" i="12"/>
  <c r="G30"/>
  <c r="G30" i="9"/>
  <c r="I30" i="12"/>
  <c r="I30" i="9"/>
  <c r="K30" i="12"/>
  <c r="K30" i="9"/>
  <c r="E31" i="12"/>
  <c r="E31" i="9"/>
  <c r="G31" i="12"/>
  <c r="G31" i="9"/>
  <c r="I31"/>
  <c r="I31" i="12"/>
  <c r="K31" i="9"/>
  <c r="K31" i="12"/>
  <c r="C30"/>
  <c r="C30" i="9"/>
  <c r="C31"/>
  <c r="C31" i="12"/>
  <c r="C24"/>
  <c r="C24" i="9"/>
  <c r="G24"/>
  <c r="G24" i="12"/>
  <c r="K24" i="9"/>
  <c r="K24" i="12"/>
  <c r="E24"/>
  <c r="E24" i="9"/>
  <c r="I24" i="12"/>
  <c r="I24" i="9"/>
  <c r="C23" i="12"/>
  <c r="C23" i="9"/>
  <c r="E23"/>
  <c r="E23" i="12"/>
  <c r="G23"/>
  <c r="G23" i="9"/>
  <c r="I23" i="12"/>
  <c r="I23" i="9"/>
  <c r="K23" i="12"/>
  <c r="K23" i="9"/>
  <c r="E63"/>
  <c r="E68" i="12"/>
  <c r="G63" i="9"/>
  <c r="G68" i="12"/>
  <c r="I68"/>
  <c r="I63" i="9"/>
  <c r="K68" i="12"/>
  <c r="K63" i="9"/>
  <c r="E69" i="12"/>
  <c r="E64" i="9"/>
  <c r="G64"/>
  <c r="G69" i="12"/>
  <c r="I64" i="9"/>
  <c r="I69" i="12"/>
  <c r="K69"/>
  <c r="K64" i="9"/>
  <c r="C63"/>
  <c r="C68" i="12"/>
  <c r="C64" i="9"/>
  <c r="C69" i="12"/>
  <c r="G53"/>
  <c r="G52" i="9"/>
  <c r="K53" i="12"/>
  <c r="K52" i="9"/>
  <c r="C52"/>
  <c r="C53" i="12"/>
  <c r="E52" i="9"/>
  <c r="E53" i="12"/>
  <c r="I53"/>
  <c r="I52" i="9"/>
  <c r="C51"/>
  <c r="C52" i="12"/>
  <c r="E52"/>
  <c r="E51" i="9"/>
  <c r="G52" i="12"/>
  <c r="G51" i="9"/>
  <c r="I51"/>
  <c r="I52" i="12"/>
  <c r="K51" i="9"/>
  <c r="K52" i="12"/>
  <c r="C8" i="13"/>
  <c r="E43" i="9"/>
  <c r="E46" i="12"/>
  <c r="G43" i="9"/>
  <c r="G46" i="12"/>
  <c r="I46"/>
  <c r="I43" i="9"/>
  <c r="K43"/>
  <c r="K46" i="12"/>
  <c r="C42" i="9"/>
  <c r="E42"/>
  <c r="G42"/>
  <c r="I42"/>
  <c r="K42"/>
  <c r="K8" i="13"/>
  <c r="C43" i="9"/>
  <c r="C46" i="12"/>
  <c r="G34" i="9"/>
  <c r="G34" i="12"/>
  <c r="C34" i="9"/>
  <c r="C34" i="12"/>
  <c r="C33"/>
  <c r="C33" i="9"/>
  <c r="E34"/>
  <c r="E34" i="12"/>
  <c r="I34" i="9"/>
  <c r="I34" i="12"/>
  <c r="K34"/>
  <c r="K34" i="9"/>
  <c r="E33"/>
  <c r="E33" i="12"/>
  <c r="G33"/>
  <c r="G33" i="9"/>
  <c r="I33" i="12"/>
  <c r="I33" i="9"/>
  <c r="K33"/>
  <c r="K33" i="12"/>
  <c r="C71" i="9"/>
  <c r="C73" i="12"/>
  <c r="C75" i="9"/>
  <c r="C77" i="12"/>
  <c r="E71" i="9"/>
  <c r="E73" i="12"/>
  <c r="E77"/>
  <c r="E75" i="9"/>
  <c r="G73" i="12"/>
  <c r="G71" i="9"/>
  <c r="G77" i="12"/>
  <c r="G75" i="9"/>
  <c r="I73" i="12"/>
  <c r="I71" i="9"/>
  <c r="I77" i="12"/>
  <c r="I75" i="9"/>
  <c r="K73" i="12"/>
  <c r="K71" i="9"/>
  <c r="K75"/>
  <c r="K77" i="12"/>
  <c r="E113" i="9"/>
  <c r="G10" i="7"/>
  <c r="F65" i="4" s="1"/>
  <c r="F34" s="1"/>
  <c r="K113" i="9"/>
  <c r="J126" i="1"/>
  <c r="E133" i="6"/>
  <c r="M126" i="1"/>
  <c r="E111" i="9"/>
  <c r="G133" i="6"/>
  <c r="N126" i="1"/>
  <c r="G111" i="9"/>
  <c r="I133" i="6"/>
  <c r="O126" i="1"/>
  <c r="I111" i="9"/>
  <c r="K133" i="6"/>
  <c r="K137" s="1"/>
  <c r="J56" i="4" s="1"/>
  <c r="P126" i="1"/>
  <c r="K111" i="9"/>
  <c r="C113"/>
  <c r="C10" i="7"/>
  <c r="B65" i="4" s="1"/>
  <c r="C133" i="6"/>
  <c r="K126" i="1"/>
  <c r="C111" i="9"/>
  <c r="C124" s="1"/>
  <c r="G144" i="6"/>
  <c r="F60" i="4" s="1"/>
  <c r="I144" i="6"/>
  <c r="H60" i="4" s="1"/>
  <c r="K144" i="6"/>
  <c r="J60" i="4" s="1"/>
  <c r="M13" i="6"/>
  <c r="Q13" s="1"/>
  <c r="R13" s="1"/>
  <c r="M22"/>
  <c r="Q22" s="1"/>
  <c r="R22" s="1"/>
  <c r="M66"/>
  <c r="M72"/>
  <c r="M54"/>
  <c r="M38"/>
  <c r="M103"/>
  <c r="M115"/>
  <c r="M124"/>
  <c r="M141"/>
  <c r="Q141" s="1"/>
  <c r="R141" s="1"/>
  <c r="M16"/>
  <c r="M43"/>
  <c r="M74"/>
  <c r="M56"/>
  <c r="M96"/>
  <c r="M104"/>
  <c r="M116"/>
  <c r="M125"/>
  <c r="Q125" s="1"/>
  <c r="R125" s="1"/>
  <c r="M140"/>
  <c r="M14"/>
  <c r="Q14" s="1"/>
  <c r="R14" s="1"/>
  <c r="M28"/>
  <c r="M69"/>
  <c r="M90"/>
  <c r="M95"/>
  <c r="Q95" s="1"/>
  <c r="R95" s="1"/>
  <c r="M107"/>
  <c r="M119"/>
  <c r="M129"/>
  <c r="M20"/>
  <c r="M29"/>
  <c r="M49"/>
  <c r="M86"/>
  <c r="M62"/>
  <c r="M100"/>
  <c r="M112"/>
  <c r="M120"/>
  <c r="M21"/>
  <c r="Q21" s="1"/>
  <c r="R21" s="1"/>
  <c r="M18"/>
  <c r="M15"/>
  <c r="Q15" s="1"/>
  <c r="R15" s="1"/>
  <c r="M26"/>
  <c r="Q26" s="1"/>
  <c r="R26" s="1"/>
  <c r="M30"/>
  <c r="Q30" s="1"/>
  <c r="R30" s="1"/>
  <c r="M44"/>
  <c r="M84"/>
  <c r="M50"/>
  <c r="M75"/>
  <c r="M47"/>
  <c r="M87"/>
  <c r="M57"/>
  <c r="M35"/>
  <c r="M63"/>
  <c r="M93"/>
  <c r="Q93" s="1"/>
  <c r="R93" s="1"/>
  <c r="M97"/>
  <c r="Q97" s="1"/>
  <c r="R97" s="1"/>
  <c r="M101"/>
  <c r="M105"/>
  <c r="M109"/>
  <c r="M113"/>
  <c r="M117"/>
  <c r="M121"/>
  <c r="M126"/>
  <c r="Q126" s="1"/>
  <c r="R126" s="1"/>
  <c r="M143"/>
  <c r="M78"/>
  <c r="M60"/>
  <c r="M81"/>
  <c r="M99"/>
  <c r="M111"/>
  <c r="M19"/>
  <c r="M25"/>
  <c r="M83"/>
  <c r="M46"/>
  <c r="M34"/>
  <c r="M92"/>
  <c r="Q92" s="1"/>
  <c r="R92" s="1"/>
  <c r="M108"/>
  <c r="M130"/>
  <c r="M23"/>
  <c r="M12"/>
  <c r="Q12" s="1"/>
  <c r="R12" s="1"/>
  <c r="M17"/>
  <c r="M24"/>
  <c r="Q24" s="1"/>
  <c r="R24" s="1"/>
  <c r="M27"/>
  <c r="M77"/>
  <c r="M65"/>
  <c r="M68"/>
  <c r="M71"/>
  <c r="M59"/>
  <c r="M53"/>
  <c r="M89"/>
  <c r="M80"/>
  <c r="M37"/>
  <c r="M94"/>
  <c r="Q94" s="1"/>
  <c r="R94" s="1"/>
  <c r="M98"/>
  <c r="M102"/>
  <c r="M106"/>
  <c r="M110"/>
  <c r="M114"/>
  <c r="M118"/>
  <c r="M123"/>
  <c r="M127"/>
  <c r="Q127" s="1"/>
  <c r="R127" s="1"/>
  <c r="M139"/>
  <c r="C144"/>
  <c r="B60" i="4" s="1"/>
  <c r="E144" i="6"/>
  <c r="D60" i="4" s="1"/>
  <c r="M136" i="6"/>
  <c r="J104" i="1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4"/>
  <c r="J83"/>
  <c r="J81"/>
  <c r="J80"/>
  <c r="J78"/>
  <c r="J77"/>
  <c r="J75"/>
  <c r="J74"/>
  <c r="J72"/>
  <c r="J71"/>
  <c r="J69"/>
  <c r="J68"/>
  <c r="J66"/>
  <c r="J65"/>
  <c r="I124" i="9" l="1"/>
  <c r="Q8" i="7"/>
  <c r="R8" s="1"/>
  <c r="M60" i="12"/>
  <c r="K10" i="7"/>
  <c r="J65" i="4" s="1"/>
  <c r="J34" s="1"/>
  <c r="R30" i="11" s="1"/>
  <c r="S30" s="1"/>
  <c r="M36" i="9"/>
  <c r="M36" i="12"/>
  <c r="E124" i="9"/>
  <c r="K124"/>
  <c r="G113"/>
  <c r="G124" s="1"/>
  <c r="G8" i="13"/>
  <c r="G10" s="1"/>
  <c r="G45" s="1"/>
  <c r="I8"/>
  <c r="I10" s="1"/>
  <c r="I45" s="1"/>
  <c r="I47" i="12"/>
  <c r="E47"/>
  <c r="I10" i="7"/>
  <c r="H65" i="4" s="1"/>
  <c r="M9" i="7"/>
  <c r="M47" i="12" s="1"/>
  <c r="E10" i="7"/>
  <c r="D65" i="4" s="1"/>
  <c r="D34" s="1"/>
  <c r="I30" i="11" s="1"/>
  <c r="J30" s="1"/>
  <c r="M45" i="12"/>
  <c r="G137" i="6"/>
  <c r="F56" i="4" s="1"/>
  <c r="F20" s="1"/>
  <c r="L16" i="11" s="1"/>
  <c r="M16" s="1"/>
  <c r="G56" i="9"/>
  <c r="G61" i="12"/>
  <c r="E137" i="6"/>
  <c r="D56" i="4" s="1"/>
  <c r="D20" s="1"/>
  <c r="I16" i="11" s="1"/>
  <c r="J16" s="1"/>
  <c r="E56" i="9"/>
  <c r="E61" i="12"/>
  <c r="C137" i="6"/>
  <c r="B56" i="4" s="1"/>
  <c r="B58" s="1"/>
  <c r="C61" i="12"/>
  <c r="C56" i="9"/>
  <c r="I137" i="6"/>
  <c r="H56" i="4" s="1"/>
  <c r="H20" s="1"/>
  <c r="O16" i="11" s="1"/>
  <c r="P16" s="1"/>
  <c r="I61" i="12"/>
  <c r="I56" i="9"/>
  <c r="K61" i="12"/>
  <c r="K56" i="9"/>
  <c r="M9" i="13"/>
  <c r="Q9" s="1"/>
  <c r="R9" s="1"/>
  <c r="M15" i="12"/>
  <c r="M15" i="9"/>
  <c r="M14" i="12"/>
  <c r="M14" i="9"/>
  <c r="Q41" i="6"/>
  <c r="Q40"/>
  <c r="M58" i="12"/>
  <c r="M66" i="9"/>
  <c r="M67"/>
  <c r="M59" i="12"/>
  <c r="Q81" i="6"/>
  <c r="M50" i="12"/>
  <c r="M49" i="9"/>
  <c r="M48"/>
  <c r="M49" i="12"/>
  <c r="M65"/>
  <c r="M60" i="9"/>
  <c r="Q87" i="6"/>
  <c r="M66" i="12"/>
  <c r="M61" i="9"/>
  <c r="M72" i="12"/>
  <c r="M70" i="9"/>
  <c r="Q62" i="6"/>
  <c r="M69" i="9"/>
  <c r="M71" i="12"/>
  <c r="Q43" i="6"/>
  <c r="M17" i="12"/>
  <c r="M17" i="9"/>
  <c r="M18"/>
  <c r="M18" i="12"/>
  <c r="Q38" i="6"/>
  <c r="M12" i="12"/>
  <c r="M12" i="9"/>
  <c r="M11"/>
  <c r="M11" i="12"/>
  <c r="M42"/>
  <c r="M45" i="9"/>
  <c r="M43" i="12"/>
  <c r="M46" i="9"/>
  <c r="Q35" i="6"/>
  <c r="M27" i="12"/>
  <c r="M27" i="9"/>
  <c r="M26" i="12"/>
  <c r="M26" i="9"/>
  <c r="M37"/>
  <c r="M37" i="12"/>
  <c r="Q75" i="6"/>
  <c r="M55" i="9"/>
  <c r="M54"/>
  <c r="Q68" i="6"/>
  <c r="M39" i="12"/>
  <c r="M39" i="9"/>
  <c r="Q69" i="6"/>
  <c r="M40" i="12"/>
  <c r="M40" i="9"/>
  <c r="M20" i="12"/>
  <c r="M20" i="9"/>
  <c r="M21" i="12"/>
  <c r="M21" i="9"/>
  <c r="Q54" i="6"/>
  <c r="M31" i="9"/>
  <c r="M31" i="12"/>
  <c r="Q53" i="6"/>
  <c r="M30" i="9"/>
  <c r="M30" i="12"/>
  <c r="M24"/>
  <c r="M24" i="9"/>
  <c r="M23"/>
  <c r="M23" i="12"/>
  <c r="M63" i="9"/>
  <c r="M68" i="12"/>
  <c r="Q90" i="6"/>
  <c r="M69" i="12"/>
  <c r="M64" i="9"/>
  <c r="Q84" i="6"/>
  <c r="M52" i="9"/>
  <c r="M53" i="12"/>
  <c r="M52"/>
  <c r="M51" i="9"/>
  <c r="Q72" i="6"/>
  <c r="M46" i="12"/>
  <c r="M43" i="9"/>
  <c r="B71" i="4"/>
  <c r="B66"/>
  <c r="K10" i="13"/>
  <c r="K45" s="1"/>
  <c r="M42" i="9"/>
  <c r="E10" i="13"/>
  <c r="E45" s="1"/>
  <c r="C10"/>
  <c r="C45" s="1"/>
  <c r="Q56" i="6"/>
  <c r="M33" i="12"/>
  <c r="M33" i="9"/>
  <c r="M34"/>
  <c r="M34" i="12"/>
  <c r="M77"/>
  <c r="M75" i="9"/>
  <c r="Q25" i="6"/>
  <c r="M71" i="9"/>
  <c r="M73" i="12"/>
  <c r="M133" i="6"/>
  <c r="M137" s="1"/>
  <c r="B62" i="4"/>
  <c r="L30" i="11"/>
  <c r="M30" s="1"/>
  <c r="F71" i="4"/>
  <c r="L25" i="11"/>
  <c r="M25" s="1"/>
  <c r="O25"/>
  <c r="P25" s="1"/>
  <c r="L60" i="4"/>
  <c r="I25" i="11"/>
  <c r="J25" s="1"/>
  <c r="R25"/>
  <c r="S25" s="1"/>
  <c r="J20" i="4"/>
  <c r="R16" i="11" s="1"/>
  <c r="S16" s="1"/>
  <c r="M10" i="7"/>
  <c r="M111" i="9"/>
  <c r="Q98" i="6"/>
  <c r="R98" s="1"/>
  <c r="Q27"/>
  <c r="R27" s="1"/>
  <c r="Q129"/>
  <c r="R129" s="1"/>
  <c r="Q16"/>
  <c r="R16" s="1"/>
  <c r="Q66"/>
  <c r="Q60"/>
  <c r="Q89"/>
  <c r="Q23"/>
  <c r="R23" s="1"/>
  <c r="Q19"/>
  <c r="R19" s="1"/>
  <c r="Q143"/>
  <c r="R143" s="1"/>
  <c r="Q140"/>
  <c r="R140" s="1"/>
  <c r="Q96"/>
  <c r="R96" s="1"/>
  <c r="Q86"/>
  <c r="Q139"/>
  <c r="R139" s="1"/>
  <c r="Q50"/>
  <c r="Q34"/>
  <c r="Q113"/>
  <c r="R113" s="1"/>
  <c r="Q57"/>
  <c r="Q80"/>
  <c r="Q71"/>
  <c r="Q45" i="12" s="1"/>
  <c r="Q77" i="6"/>
  <c r="Q130"/>
  <c r="Q46"/>
  <c r="Q49"/>
  <c r="Q123"/>
  <c r="R123" s="1"/>
  <c r="Q37"/>
  <c r="Q59"/>
  <c r="Q65"/>
  <c r="Q17"/>
  <c r="R17" s="1"/>
  <c r="Q83"/>
  <c r="Q78"/>
  <c r="Q63"/>
  <c r="Q47"/>
  <c r="Q44"/>
  <c r="Q18"/>
  <c r="R18" s="1"/>
  <c r="Q29"/>
  <c r="R29" s="1"/>
  <c r="Q28"/>
  <c r="R28" s="1"/>
  <c r="Q74"/>
  <c r="Q124"/>
  <c r="R124" s="1"/>
  <c r="Q20"/>
  <c r="R20" s="1"/>
  <c r="M144"/>
  <c r="Q136"/>
  <c r="J63" i="1"/>
  <c r="J62"/>
  <c r="J60"/>
  <c r="J59"/>
  <c r="J57"/>
  <c r="J56"/>
  <c r="J54"/>
  <c r="J53"/>
  <c r="J51"/>
  <c r="J50"/>
  <c r="J48"/>
  <c r="J47"/>
  <c r="J45"/>
  <c r="J44"/>
  <c r="J42"/>
  <c r="J41"/>
  <c r="J39"/>
  <c r="J38"/>
  <c r="J36"/>
  <c r="J35"/>
  <c r="J33"/>
  <c r="J32"/>
  <c r="J30"/>
  <c r="J29"/>
  <c r="J25"/>
  <c r="J24"/>
  <c r="J23"/>
  <c r="J22"/>
  <c r="J21"/>
  <c r="J20"/>
  <c r="J9"/>
  <c r="J17"/>
  <c r="J19"/>
  <c r="J18"/>
  <c r="J8"/>
  <c r="J14"/>
  <c r="J10"/>
  <c r="J12"/>
  <c r="J16"/>
  <c r="J15"/>
  <c r="J13"/>
  <c r="J11"/>
  <c r="J7"/>
  <c r="J6"/>
  <c r="I141"/>
  <c r="I140"/>
  <c r="I137"/>
  <c r="I136"/>
  <c r="I135"/>
  <c r="I134"/>
  <c r="I133"/>
  <c r="I130"/>
  <c r="I127"/>
  <c r="I124"/>
  <c r="I123"/>
  <c r="I121"/>
  <c r="I120"/>
  <c r="I119"/>
  <c r="I118"/>
  <c r="I117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J71" i="4" l="1"/>
  <c r="D71"/>
  <c r="Q9" i="7"/>
  <c r="R9" s="1"/>
  <c r="Q36" i="9"/>
  <c r="R36" s="1"/>
  <c r="Q36" i="12"/>
  <c r="M8" i="13"/>
  <c r="Q8" s="1"/>
  <c r="R8" s="1"/>
  <c r="M113" i="9"/>
  <c r="Q113" s="1"/>
  <c r="R113" s="1"/>
  <c r="Q111"/>
  <c r="R111" s="1"/>
  <c r="L65" i="4"/>
  <c r="L34" s="1"/>
  <c r="U30" i="11" s="1"/>
  <c r="V30" s="1"/>
  <c r="H34" i="4"/>
  <c r="O30" i="11" s="1"/>
  <c r="P30" s="1"/>
  <c r="Q133" i="6"/>
  <c r="R133" s="1"/>
  <c r="H71" i="4"/>
  <c r="B20"/>
  <c r="C16" i="11" s="1"/>
  <c r="D16" s="1"/>
  <c r="L56" i="4"/>
  <c r="P56" s="1"/>
  <c r="M56" i="9"/>
  <c r="M61" i="12"/>
  <c r="Q60"/>
  <c r="R60" s="1"/>
  <c r="Q10" i="7"/>
  <c r="R10" s="1"/>
  <c r="Q15" i="12"/>
  <c r="R15" s="1"/>
  <c r="Q15" i="9"/>
  <c r="R15" s="1"/>
  <c r="R41" i="6"/>
  <c r="R40"/>
  <c r="Q14" i="12"/>
  <c r="R14" s="1"/>
  <c r="Q14" i="9"/>
  <c r="R14" s="1"/>
  <c r="R60" i="6"/>
  <c r="Q67" i="9"/>
  <c r="R67" s="1"/>
  <c r="Q59" i="12"/>
  <c r="R59" s="1"/>
  <c r="R59" i="6"/>
  <c r="Q58" i="12"/>
  <c r="R58" s="1"/>
  <c r="Q66" i="9"/>
  <c r="R66" s="1"/>
  <c r="R80" i="6"/>
  <c r="Q49" i="12"/>
  <c r="R49" s="1"/>
  <c r="Q48" i="9"/>
  <c r="R48" s="1"/>
  <c r="R81" i="6"/>
  <c r="Q49" i="9"/>
  <c r="R49" s="1"/>
  <c r="Q50" i="12"/>
  <c r="R50" s="1"/>
  <c r="R86" i="6"/>
  <c r="Q65" i="12"/>
  <c r="R65" s="1"/>
  <c r="Q60" i="9"/>
  <c r="R60" s="1"/>
  <c r="R87" i="6"/>
  <c r="Q61" i="9"/>
  <c r="R61" s="1"/>
  <c r="Q66" i="12"/>
  <c r="R66" s="1"/>
  <c r="R63" i="6"/>
  <c r="Q70" i="9"/>
  <c r="R70" s="1"/>
  <c r="Q72" i="12"/>
  <c r="R72" s="1"/>
  <c r="R62" i="6"/>
  <c r="Q69" i="9"/>
  <c r="R69" s="1"/>
  <c r="Q71" i="12"/>
  <c r="R71" s="1"/>
  <c r="R44" i="6"/>
  <c r="Q18" i="12"/>
  <c r="R18" s="1"/>
  <c r="Q18" i="9"/>
  <c r="R18" s="1"/>
  <c r="R43" i="6"/>
  <c r="Q17" i="12"/>
  <c r="R17" s="1"/>
  <c r="Q17" i="9"/>
  <c r="R17" s="1"/>
  <c r="R37" i="6"/>
  <c r="Q11" i="12"/>
  <c r="R11" s="1"/>
  <c r="Q11" i="9"/>
  <c r="R11" s="1"/>
  <c r="R38" i="6"/>
  <c r="Q12" i="12"/>
  <c r="R12" s="1"/>
  <c r="Q12" i="9"/>
  <c r="R12" s="1"/>
  <c r="R77" i="6"/>
  <c r="Q42" i="12"/>
  <c r="R42" s="1"/>
  <c r="Q45" i="9"/>
  <c r="R45" s="1"/>
  <c r="R78" i="6"/>
  <c r="Q46" i="9"/>
  <c r="R46" s="1"/>
  <c r="Q43" i="12"/>
  <c r="R43" s="1"/>
  <c r="R35" i="6"/>
  <c r="Q27" i="9"/>
  <c r="R27" s="1"/>
  <c r="Q27" i="12"/>
  <c r="R27" s="1"/>
  <c r="R34" i="6"/>
  <c r="Q26" i="9"/>
  <c r="R26" s="1"/>
  <c r="Q26" i="12"/>
  <c r="R26" s="1"/>
  <c r="R66" i="6"/>
  <c r="Q37" i="12"/>
  <c r="R37" s="1"/>
  <c r="Q37" i="9"/>
  <c r="R37" s="1"/>
  <c r="R65" i="6"/>
  <c r="R36" i="12"/>
  <c r="R74" i="6"/>
  <c r="Q54" i="9"/>
  <c r="R54" s="1"/>
  <c r="R75" i="6"/>
  <c r="Q55" i="9"/>
  <c r="R55" s="1"/>
  <c r="R69" i="6"/>
  <c r="Q40" i="9"/>
  <c r="R40" s="1"/>
  <c r="Q40" i="12"/>
  <c r="R40" s="1"/>
  <c r="R68" i="6"/>
  <c r="Q39" i="12"/>
  <c r="R39" s="1"/>
  <c r="Q39" i="9"/>
  <c r="R39" s="1"/>
  <c r="R46" i="6"/>
  <c r="Q20" i="12"/>
  <c r="R20" s="1"/>
  <c r="Q20" i="9"/>
  <c r="R20" s="1"/>
  <c r="R47" i="6"/>
  <c r="Q21" i="12"/>
  <c r="R21" s="1"/>
  <c r="Q21" i="9"/>
  <c r="R21" s="1"/>
  <c r="R54" i="6"/>
  <c r="Q31" i="9"/>
  <c r="R31" s="1"/>
  <c r="Q31" i="12"/>
  <c r="R31" s="1"/>
  <c r="R53" i="6"/>
  <c r="Q30" i="12"/>
  <c r="R30" s="1"/>
  <c r="Q30" i="9"/>
  <c r="R30" s="1"/>
  <c r="R50" i="6"/>
  <c r="Q24" i="12"/>
  <c r="R24" s="1"/>
  <c r="Q24" i="9"/>
  <c r="R24" s="1"/>
  <c r="R49" i="6"/>
  <c r="Q23" i="12"/>
  <c r="R23" s="1"/>
  <c r="Q23" i="9"/>
  <c r="R23" s="1"/>
  <c r="R89" i="6"/>
  <c r="Q63" i="9"/>
  <c r="R63" s="1"/>
  <c r="Q68" i="12"/>
  <c r="R68" s="1"/>
  <c r="R90" i="6"/>
  <c r="Q69" i="12"/>
  <c r="R69" s="1"/>
  <c r="Q64" i="9"/>
  <c r="R64" s="1"/>
  <c r="R83" i="6"/>
  <c r="Q51" i="9"/>
  <c r="R51" s="1"/>
  <c r="Q52" i="12"/>
  <c r="R52" s="1"/>
  <c r="R84" i="6"/>
  <c r="Q53" i="12"/>
  <c r="R53" s="1"/>
  <c r="Q52" i="9"/>
  <c r="R52" s="1"/>
  <c r="R71" i="6"/>
  <c r="R45" i="12"/>
  <c r="Q42" i="9"/>
  <c r="R42" s="1"/>
  <c r="R72" i="6"/>
  <c r="Q46" i="12"/>
  <c r="R46" s="1"/>
  <c r="Q43" i="9"/>
  <c r="R43" s="1"/>
  <c r="R56" i="6"/>
  <c r="Q33" i="12"/>
  <c r="R33" s="1"/>
  <c r="Q33" i="9"/>
  <c r="R33" s="1"/>
  <c r="R57" i="6"/>
  <c r="Q34" i="12"/>
  <c r="R34" s="1"/>
  <c r="Q34" i="9"/>
  <c r="R34" s="1"/>
  <c r="R25" i="6"/>
  <c r="Q73" i="12"/>
  <c r="Q71" i="9"/>
  <c r="R130" i="6"/>
  <c r="Q77" i="12"/>
  <c r="R77" s="1"/>
  <c r="Q75" i="9"/>
  <c r="R75" s="1"/>
  <c r="C25" i="11"/>
  <c r="D25" s="1"/>
  <c r="B31" i="4"/>
  <c r="C27" i="11" s="1"/>
  <c r="D27" s="1"/>
  <c r="J40" i="4"/>
  <c r="D40"/>
  <c r="F40"/>
  <c r="P60"/>
  <c r="U25" i="11"/>
  <c r="V25" s="1"/>
  <c r="I126" i="1"/>
  <c r="R136" i="6"/>
  <c r="Q144"/>
  <c r="R144" s="1"/>
  <c r="I93" i="1"/>
  <c r="I92"/>
  <c r="I91"/>
  <c r="I90"/>
  <c r="I89"/>
  <c r="I88"/>
  <c r="I86"/>
  <c r="I87"/>
  <c r="I84"/>
  <c r="I83"/>
  <c r="I81"/>
  <c r="I80"/>
  <c r="I78"/>
  <c r="I77"/>
  <c r="I75"/>
  <c r="I74"/>
  <c r="I72"/>
  <c r="I71"/>
  <c r="I69"/>
  <c r="I68"/>
  <c r="I66"/>
  <c r="I65"/>
  <c r="I63"/>
  <c r="I62"/>
  <c r="I60"/>
  <c r="I59"/>
  <c r="I57"/>
  <c r="I56"/>
  <c r="I54"/>
  <c r="I53"/>
  <c r="I51"/>
  <c r="I50"/>
  <c r="I48"/>
  <c r="I47"/>
  <c r="I45"/>
  <c r="I44"/>
  <c r="I42"/>
  <c r="I41"/>
  <c r="I39"/>
  <c r="I38"/>
  <c r="I36"/>
  <c r="I35"/>
  <c r="I33"/>
  <c r="I32"/>
  <c r="I30"/>
  <c r="I29"/>
  <c r="I25"/>
  <c r="I24"/>
  <c r="I23"/>
  <c r="I22"/>
  <c r="I21"/>
  <c r="I20"/>
  <c r="I9"/>
  <c r="I17"/>
  <c r="I19"/>
  <c r="I18"/>
  <c r="I8"/>
  <c r="I14"/>
  <c r="I10"/>
  <c r="I12"/>
  <c r="I16"/>
  <c r="I15"/>
  <c r="I13"/>
  <c r="I11"/>
  <c r="I7"/>
  <c r="I6"/>
  <c r="H141"/>
  <c r="H140"/>
  <c r="H137"/>
  <c r="H136"/>
  <c r="H135"/>
  <c r="H134"/>
  <c r="H133"/>
  <c r="H130"/>
  <c r="H127"/>
  <c r="H124"/>
  <c r="H123"/>
  <c r="H121"/>
  <c r="H120"/>
  <c r="H119"/>
  <c r="H118"/>
  <c r="H117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4"/>
  <c r="H83"/>
  <c r="H81"/>
  <c r="H80"/>
  <c r="H78"/>
  <c r="H77"/>
  <c r="H75"/>
  <c r="H74"/>
  <c r="H72"/>
  <c r="H71"/>
  <c r="H69"/>
  <c r="H68"/>
  <c r="H66"/>
  <c r="H65"/>
  <c r="H63"/>
  <c r="H62"/>
  <c r="H60"/>
  <c r="H59"/>
  <c r="H57"/>
  <c r="H56"/>
  <c r="H54"/>
  <c r="H53"/>
  <c r="H51"/>
  <c r="H50"/>
  <c r="H48"/>
  <c r="H47"/>
  <c r="H45"/>
  <c r="H44"/>
  <c r="H42"/>
  <c r="H41"/>
  <c r="H39"/>
  <c r="H38"/>
  <c r="H36"/>
  <c r="H35"/>
  <c r="H33"/>
  <c r="H32"/>
  <c r="H30"/>
  <c r="H29"/>
  <c r="H25"/>
  <c r="H24"/>
  <c r="H23"/>
  <c r="H22"/>
  <c r="H21"/>
  <c r="H20"/>
  <c r="H9"/>
  <c r="H17"/>
  <c r="H19"/>
  <c r="H18"/>
  <c r="H8"/>
  <c r="H14"/>
  <c r="H10"/>
  <c r="H12"/>
  <c r="H16"/>
  <c r="H15"/>
  <c r="H13"/>
  <c r="H11"/>
  <c r="H7"/>
  <c r="H6"/>
  <c r="G141"/>
  <c r="G140"/>
  <c r="G137"/>
  <c r="G136"/>
  <c r="G135"/>
  <c r="G134"/>
  <c r="G133"/>
  <c r="G130"/>
  <c r="G127"/>
  <c r="G124"/>
  <c r="G123"/>
  <c r="G121"/>
  <c r="G120"/>
  <c r="G119"/>
  <c r="G118"/>
  <c r="G117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Q47" i="12" l="1"/>
  <c r="R47" s="1"/>
  <c r="L71" i="4"/>
  <c r="Q137" i="6"/>
  <c r="R137" s="1"/>
  <c r="P65" i="4"/>
  <c r="H40"/>
  <c r="O36" i="11" s="1"/>
  <c r="P36" s="1"/>
  <c r="Q10" i="13"/>
  <c r="Q45" s="1"/>
  <c r="R45" s="1"/>
  <c r="M10"/>
  <c r="M45" s="1"/>
  <c r="M124" i="9"/>
  <c r="Q124"/>
  <c r="R124" s="1"/>
  <c r="Q56"/>
  <c r="R56" s="1"/>
  <c r="Q61" i="12"/>
  <c r="R61" s="1"/>
  <c r="L20" i="4"/>
  <c r="B22"/>
  <c r="C18" i="11" s="1"/>
  <c r="D18" s="1"/>
  <c r="I36"/>
  <c r="J36" s="1"/>
  <c r="R73" i="12"/>
  <c r="R71" i="9"/>
  <c r="L36" i="11"/>
  <c r="M36" s="1"/>
  <c r="R36"/>
  <c r="S36" s="1"/>
  <c r="H126" i="1"/>
  <c r="L40" i="4"/>
  <c r="U36" i="11" s="1"/>
  <c r="V36" s="1"/>
  <c r="AA25"/>
  <c r="AB25" s="1"/>
  <c r="Q60" i="4"/>
  <c r="Q56"/>
  <c r="P20"/>
  <c r="AA16" i="11" s="1"/>
  <c r="AB16" s="1"/>
  <c r="G126" i="1"/>
  <c r="G86"/>
  <c r="G87"/>
  <c r="G84"/>
  <c r="G83"/>
  <c r="G81"/>
  <c r="G80"/>
  <c r="G78"/>
  <c r="G77"/>
  <c r="G75"/>
  <c r="G74"/>
  <c r="G72"/>
  <c r="G71"/>
  <c r="G69"/>
  <c r="G68"/>
  <c r="G66"/>
  <c r="G65"/>
  <c r="G63"/>
  <c r="G62"/>
  <c r="G60"/>
  <c r="G59"/>
  <c r="G57"/>
  <c r="G56"/>
  <c r="G54"/>
  <c r="G53"/>
  <c r="G51"/>
  <c r="G50"/>
  <c r="G48"/>
  <c r="G47"/>
  <c r="G45"/>
  <c r="G44"/>
  <c r="G42"/>
  <c r="G41"/>
  <c r="G39"/>
  <c r="G38"/>
  <c r="G36"/>
  <c r="G35"/>
  <c r="G33"/>
  <c r="G32"/>
  <c r="G30"/>
  <c r="G29"/>
  <c r="G25"/>
  <c r="G24"/>
  <c r="G23"/>
  <c r="G22"/>
  <c r="G21"/>
  <c r="G20"/>
  <c r="G9"/>
  <c r="G17"/>
  <c r="G19"/>
  <c r="G18"/>
  <c r="G8"/>
  <c r="G14"/>
  <c r="G10"/>
  <c r="G12"/>
  <c r="G16"/>
  <c r="G15"/>
  <c r="G13"/>
  <c r="G11"/>
  <c r="G7"/>
  <c r="G6"/>
  <c r="G139"/>
  <c r="H139"/>
  <c r="I139"/>
  <c r="J139"/>
  <c r="K139"/>
  <c r="H5"/>
  <c r="H4" s="1"/>
  <c r="I5"/>
  <c r="I4" s="1"/>
  <c r="E141"/>
  <c r="E140"/>
  <c r="E137"/>
  <c r="E136"/>
  <c r="E135"/>
  <c r="E134"/>
  <c r="E133"/>
  <c r="E130"/>
  <c r="E127"/>
  <c r="E124"/>
  <c r="E123"/>
  <c r="E121"/>
  <c r="E120"/>
  <c r="E119"/>
  <c r="E118"/>
  <c r="E117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4"/>
  <c r="E83"/>
  <c r="E81"/>
  <c r="E80"/>
  <c r="E78"/>
  <c r="E77"/>
  <c r="E75"/>
  <c r="E74"/>
  <c r="E72"/>
  <c r="E71"/>
  <c r="E69"/>
  <c r="E68"/>
  <c r="E66"/>
  <c r="E65"/>
  <c r="E63"/>
  <c r="E62"/>
  <c r="E60"/>
  <c r="E59"/>
  <c r="E57"/>
  <c r="E56"/>
  <c r="E54"/>
  <c r="E53"/>
  <c r="E51"/>
  <c r="E50"/>
  <c r="E48"/>
  <c r="E47"/>
  <c r="E45"/>
  <c r="E44"/>
  <c r="E42"/>
  <c r="E41"/>
  <c r="E39"/>
  <c r="E38"/>
  <c r="E36"/>
  <c r="E35"/>
  <c r="E33"/>
  <c r="E32"/>
  <c r="E30"/>
  <c r="E29"/>
  <c r="E25"/>
  <c r="E24"/>
  <c r="E23"/>
  <c r="E22"/>
  <c r="E21"/>
  <c r="E20"/>
  <c r="E9"/>
  <c r="E17"/>
  <c r="E19"/>
  <c r="E18"/>
  <c r="E8"/>
  <c r="E14"/>
  <c r="E10"/>
  <c r="E12"/>
  <c r="E16"/>
  <c r="E15"/>
  <c r="E13"/>
  <c r="E11"/>
  <c r="E7"/>
  <c r="E6"/>
  <c r="D141"/>
  <c r="D140"/>
  <c r="D137"/>
  <c r="D136"/>
  <c r="D135"/>
  <c r="D134"/>
  <c r="D133"/>
  <c r="D130"/>
  <c r="D127"/>
  <c r="D124"/>
  <c r="D123"/>
  <c r="D121"/>
  <c r="D120"/>
  <c r="D119"/>
  <c r="D118"/>
  <c r="D117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4"/>
  <c r="D83"/>
  <c r="D81"/>
  <c r="D80"/>
  <c r="D78"/>
  <c r="D77"/>
  <c r="D75"/>
  <c r="D74"/>
  <c r="D72"/>
  <c r="D71"/>
  <c r="D69"/>
  <c r="D68"/>
  <c r="D66"/>
  <c r="D65"/>
  <c r="D63"/>
  <c r="D62"/>
  <c r="D60"/>
  <c r="D59"/>
  <c r="D57"/>
  <c r="D56"/>
  <c r="D54"/>
  <c r="D53"/>
  <c r="D51"/>
  <c r="D50"/>
  <c r="D48"/>
  <c r="D47"/>
  <c r="D45"/>
  <c r="D44"/>
  <c r="D42"/>
  <c r="D41"/>
  <c r="D39"/>
  <c r="D38"/>
  <c r="D36"/>
  <c r="D35"/>
  <c r="D33"/>
  <c r="D32"/>
  <c r="D30"/>
  <c r="D29"/>
  <c r="D25"/>
  <c r="D24"/>
  <c r="D23"/>
  <c r="D22"/>
  <c r="D21"/>
  <c r="D20"/>
  <c r="D9"/>
  <c r="D17"/>
  <c r="D19"/>
  <c r="D18"/>
  <c r="D8"/>
  <c r="D14"/>
  <c r="D10"/>
  <c r="D12"/>
  <c r="D16"/>
  <c r="D15"/>
  <c r="D13"/>
  <c r="D11"/>
  <c r="D7"/>
  <c r="D6"/>
  <c r="C141"/>
  <c r="F141" s="1"/>
  <c r="C140"/>
  <c r="F140" s="1"/>
  <c r="C137"/>
  <c r="F137" s="1"/>
  <c r="C136"/>
  <c r="F136" s="1"/>
  <c r="C135"/>
  <c r="C134"/>
  <c r="F134" s="1"/>
  <c r="C133"/>
  <c r="F133" s="1"/>
  <c r="C130"/>
  <c r="F130" s="1"/>
  <c r="C127"/>
  <c r="C124"/>
  <c r="F124" s="1"/>
  <c r="C123"/>
  <c r="F123" s="1"/>
  <c r="C121"/>
  <c r="F121" s="1"/>
  <c r="C120"/>
  <c r="F120" s="1"/>
  <c r="C119"/>
  <c r="F119" s="1"/>
  <c r="C118"/>
  <c r="F118" s="1"/>
  <c r="C117"/>
  <c r="C115"/>
  <c r="C114"/>
  <c r="C113"/>
  <c r="C112"/>
  <c r="C111"/>
  <c r="C110"/>
  <c r="C109"/>
  <c r="C108"/>
  <c r="C107"/>
  <c r="F107" s="1"/>
  <c r="C106"/>
  <c r="C105"/>
  <c r="C104"/>
  <c r="C103"/>
  <c r="C102"/>
  <c r="C101"/>
  <c r="C100"/>
  <c r="C99"/>
  <c r="C98"/>
  <c r="C97"/>
  <c r="C96"/>
  <c r="C95"/>
  <c r="C94"/>
  <c r="C93"/>
  <c r="C92"/>
  <c r="F92" s="1"/>
  <c r="C91"/>
  <c r="F91" s="1"/>
  <c r="C90"/>
  <c r="F90" s="1"/>
  <c r="C89"/>
  <c r="F89" s="1"/>
  <c r="C88"/>
  <c r="F88" s="1"/>
  <c r="C87"/>
  <c r="F87" s="1"/>
  <c r="C86"/>
  <c r="F86" s="1"/>
  <c r="C84"/>
  <c r="C83"/>
  <c r="C81"/>
  <c r="C80"/>
  <c r="F80" s="1"/>
  <c r="C78"/>
  <c r="C77"/>
  <c r="F77" s="1"/>
  <c r="C75"/>
  <c r="C74"/>
  <c r="F74" s="1"/>
  <c r="C72"/>
  <c r="C71"/>
  <c r="F71" s="1"/>
  <c r="C69"/>
  <c r="C68"/>
  <c r="F68" s="1"/>
  <c r="C66"/>
  <c r="C65"/>
  <c r="C63"/>
  <c r="C62"/>
  <c r="F62" s="1"/>
  <c r="C60"/>
  <c r="C59"/>
  <c r="F59" s="1"/>
  <c r="C57"/>
  <c r="C56"/>
  <c r="F56" s="1"/>
  <c r="C54"/>
  <c r="C53"/>
  <c r="F53" s="1"/>
  <c r="C51"/>
  <c r="C50"/>
  <c r="F50" s="1"/>
  <c r="C48"/>
  <c r="C47"/>
  <c r="F47" s="1"/>
  <c r="C45"/>
  <c r="C44"/>
  <c r="F44" s="1"/>
  <c r="C42"/>
  <c r="C41"/>
  <c r="F41" s="1"/>
  <c r="C39"/>
  <c r="F39" s="1"/>
  <c r="C38"/>
  <c r="F38" s="1"/>
  <c r="C36"/>
  <c r="F36" s="1"/>
  <c r="C35"/>
  <c r="F35" s="1"/>
  <c r="C33"/>
  <c r="F33" s="1"/>
  <c r="C32"/>
  <c r="F32" s="1"/>
  <c r="C30"/>
  <c r="F30" s="1"/>
  <c r="C29"/>
  <c r="F29" s="1"/>
  <c r="C25"/>
  <c r="F25" s="1"/>
  <c r="C24"/>
  <c r="F24" s="1"/>
  <c r="C23"/>
  <c r="F23" s="1"/>
  <c r="C22"/>
  <c r="F22" s="1"/>
  <c r="C21"/>
  <c r="F21" s="1"/>
  <c r="C20"/>
  <c r="F20" s="1"/>
  <c r="C9"/>
  <c r="F9" s="1"/>
  <c r="C17"/>
  <c r="F17" s="1"/>
  <c r="C19"/>
  <c r="F19" s="1"/>
  <c r="C18"/>
  <c r="F18" s="1"/>
  <c r="C8"/>
  <c r="F8" s="1"/>
  <c r="C14"/>
  <c r="C10"/>
  <c r="F10" s="1"/>
  <c r="C12"/>
  <c r="F12" s="1"/>
  <c r="C16"/>
  <c r="F16" s="1"/>
  <c r="C15"/>
  <c r="F15" s="1"/>
  <c r="C13"/>
  <c r="F13" s="1"/>
  <c r="C11"/>
  <c r="F11" s="1"/>
  <c r="C7"/>
  <c r="F7" s="1"/>
  <c r="B141"/>
  <c r="B140"/>
  <c r="B137"/>
  <c r="B136"/>
  <c r="B135"/>
  <c r="B134"/>
  <c r="B133"/>
  <c r="B130"/>
  <c r="B127"/>
  <c r="B124"/>
  <c r="B123"/>
  <c r="B121"/>
  <c r="B120"/>
  <c r="B119"/>
  <c r="B118"/>
  <c r="B117"/>
  <c r="B115"/>
  <c r="B114"/>
  <c r="B113"/>
  <c r="B112"/>
  <c r="B111"/>
  <c r="B110"/>
  <c r="B109"/>
  <c r="B107"/>
  <c r="B108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3"/>
  <c r="B81"/>
  <c r="B80"/>
  <c r="B78"/>
  <c r="B77"/>
  <c r="B75"/>
  <c r="B74"/>
  <c r="B72"/>
  <c r="B71"/>
  <c r="B69"/>
  <c r="B68"/>
  <c r="B66"/>
  <c r="B65"/>
  <c r="B63"/>
  <c r="B62"/>
  <c r="B60"/>
  <c r="B59"/>
  <c r="B57"/>
  <c r="B56"/>
  <c r="B54"/>
  <c r="B53"/>
  <c r="B51"/>
  <c r="B50"/>
  <c r="B48"/>
  <c r="B47"/>
  <c r="B45"/>
  <c r="B44"/>
  <c r="B42"/>
  <c r="B41"/>
  <c r="B39"/>
  <c r="B38"/>
  <c r="B36"/>
  <c r="B35"/>
  <c r="B33"/>
  <c r="B32"/>
  <c r="B30"/>
  <c r="B29"/>
  <c r="B25"/>
  <c r="B24"/>
  <c r="B23"/>
  <c r="B22"/>
  <c r="B21"/>
  <c r="B20"/>
  <c r="B9"/>
  <c r="B17"/>
  <c r="B19"/>
  <c r="B18"/>
  <c r="B8"/>
  <c r="B14"/>
  <c r="B10"/>
  <c r="B12"/>
  <c r="B16"/>
  <c r="B15"/>
  <c r="B13"/>
  <c r="B11"/>
  <c r="C6"/>
  <c r="B6"/>
  <c r="B7"/>
  <c r="F14" l="1"/>
  <c r="P71" i="4"/>
  <c r="Q71" s="1"/>
  <c r="B82"/>
  <c r="C82"/>
  <c r="Q65"/>
  <c r="U16" i="11"/>
  <c r="V16" s="1"/>
  <c r="R10" i="13"/>
  <c r="F117" i="1"/>
  <c r="Q29" i="4"/>
  <c r="Q20"/>
  <c r="D126" i="1"/>
  <c r="B126"/>
  <c r="F127"/>
  <c r="F126" s="1"/>
  <c r="C126"/>
  <c r="E126"/>
  <c r="F83"/>
  <c r="F135"/>
  <c r="F132" s="1"/>
  <c r="F65"/>
  <c r="F6"/>
  <c r="G5"/>
  <c r="G4" s="1"/>
  <c r="B34"/>
  <c r="J5"/>
  <c r="K5"/>
  <c r="C11" i="6" s="1"/>
  <c r="L6" i="1"/>
  <c r="D23" i="6" s="1"/>
  <c r="Q6" i="1"/>
  <c r="R6"/>
  <c r="L7"/>
  <c r="Q7"/>
  <c r="R7"/>
  <c r="L11"/>
  <c r="D19" i="6" s="1"/>
  <c r="Q11" i="1"/>
  <c r="R11"/>
  <c r="L13"/>
  <c r="D21" i="6" s="1"/>
  <c r="Q13" i="1"/>
  <c r="R13"/>
  <c r="L15"/>
  <c r="D12" i="6" s="1"/>
  <c r="Q15" i="1"/>
  <c r="R15"/>
  <c r="L16"/>
  <c r="D13" i="6" s="1"/>
  <c r="Q16" i="1"/>
  <c r="R16"/>
  <c r="L12"/>
  <c r="D16" i="6" s="1"/>
  <c r="Q12" i="1"/>
  <c r="R12"/>
  <c r="L10"/>
  <c r="D18" i="6" s="1"/>
  <c r="Q10" i="1"/>
  <c r="R10"/>
  <c r="L14"/>
  <c r="D17" i="6" s="1"/>
  <c r="Q14" i="1"/>
  <c r="R14"/>
  <c r="L8"/>
  <c r="D14" i="6" s="1"/>
  <c r="Q8" i="1"/>
  <c r="R8"/>
  <c r="L18"/>
  <c r="D20" i="6" s="1"/>
  <c r="Q18" i="1"/>
  <c r="R18"/>
  <c r="L19"/>
  <c r="D15" i="6" s="1"/>
  <c r="Q19" i="1"/>
  <c r="R19"/>
  <c r="L17"/>
  <c r="D24" i="6" s="1"/>
  <c r="Q17" i="1"/>
  <c r="R17"/>
  <c r="L9"/>
  <c r="D22" i="6" s="1"/>
  <c r="Q9" i="1"/>
  <c r="R9"/>
  <c r="L29"/>
  <c r="D77" i="6" s="1"/>
  <c r="Q29" i="1"/>
  <c r="R29"/>
  <c r="L30"/>
  <c r="D78" i="6" s="1"/>
  <c r="Q30" i="1"/>
  <c r="R30"/>
  <c r="B40"/>
  <c r="B43"/>
  <c r="B46"/>
  <c r="R124"/>
  <c r="R123"/>
  <c r="L127"/>
  <c r="Q127"/>
  <c r="R127"/>
  <c r="L130"/>
  <c r="D136" i="6" s="1"/>
  <c r="Q130" i="1"/>
  <c r="R130"/>
  <c r="L140"/>
  <c r="Q140"/>
  <c r="R140"/>
  <c r="L141"/>
  <c r="D8" i="7" s="1"/>
  <c r="Q141" i="1"/>
  <c r="R141"/>
  <c r="H132"/>
  <c r="M132"/>
  <c r="C132"/>
  <c r="D132"/>
  <c r="E132"/>
  <c r="G132"/>
  <c r="I132"/>
  <c r="J132"/>
  <c r="K132"/>
  <c r="L133"/>
  <c r="D142" i="6" s="1"/>
  <c r="N132" i="1"/>
  <c r="O132"/>
  <c r="P132"/>
  <c r="Q133"/>
  <c r="R133"/>
  <c r="L134"/>
  <c r="D140" i="6" s="1"/>
  <c r="Q134" i="1"/>
  <c r="R134"/>
  <c r="L135"/>
  <c r="D143" i="6" s="1"/>
  <c r="Q135" i="1"/>
  <c r="R135"/>
  <c r="L136"/>
  <c r="D139" i="6" s="1"/>
  <c r="Q136" i="1"/>
  <c r="R136"/>
  <c r="L137"/>
  <c r="D141" i="6" s="1"/>
  <c r="Q137" i="1"/>
  <c r="R137"/>
  <c r="L117"/>
  <c r="D123" i="6" s="1"/>
  <c r="M116" i="1"/>
  <c r="E122" i="6" s="1"/>
  <c r="Q117" i="1"/>
  <c r="R117"/>
  <c r="L118"/>
  <c r="D124" i="6" s="1"/>
  <c r="Q118" i="1"/>
  <c r="R118"/>
  <c r="K116"/>
  <c r="C122" i="6" s="1"/>
  <c r="L119" i="1"/>
  <c r="D125" i="6" s="1"/>
  <c r="Q119" i="1"/>
  <c r="R119"/>
  <c r="L120"/>
  <c r="D126" i="6" s="1"/>
  <c r="Q120" i="1"/>
  <c r="R120"/>
  <c r="L121"/>
  <c r="D127" i="6" s="1"/>
  <c r="Q121" i="1"/>
  <c r="R121"/>
  <c r="G116"/>
  <c r="H116"/>
  <c r="O116"/>
  <c r="I122" i="6" s="1"/>
  <c r="E122" i="1"/>
  <c r="N122"/>
  <c r="G128" i="6" s="1"/>
  <c r="C122" i="1"/>
  <c r="D122"/>
  <c r="G122"/>
  <c r="H122"/>
  <c r="I122"/>
  <c r="J122"/>
  <c r="K122"/>
  <c r="C128" i="6" s="1"/>
  <c r="L123" i="1"/>
  <c r="M122"/>
  <c r="E128" i="6" s="1"/>
  <c r="O122" i="1"/>
  <c r="I128" i="6" s="1"/>
  <c r="P122" i="1"/>
  <c r="K128" i="6" s="1"/>
  <c r="Q123" i="1"/>
  <c r="Q122" s="1"/>
  <c r="L124"/>
  <c r="D130" i="6" s="1"/>
  <c r="Q124" i="1"/>
  <c r="L86"/>
  <c r="D92" i="6" s="1"/>
  <c r="Q86" i="1"/>
  <c r="R86"/>
  <c r="L87"/>
  <c r="D93" i="6" s="1"/>
  <c r="Q87" i="1"/>
  <c r="R87"/>
  <c r="L88"/>
  <c r="D94" i="6" s="1"/>
  <c r="Q88" i="1"/>
  <c r="R88"/>
  <c r="L89"/>
  <c r="D95" i="6" s="1"/>
  <c r="Q89" i="1"/>
  <c r="R89"/>
  <c r="L90"/>
  <c r="D96" i="6" s="1"/>
  <c r="Q90" i="1"/>
  <c r="R90"/>
  <c r="L91"/>
  <c r="D97" i="6" s="1"/>
  <c r="Q91" i="1"/>
  <c r="R91"/>
  <c r="L92"/>
  <c r="D98" i="6" s="1"/>
  <c r="Q92" i="1"/>
  <c r="R92"/>
  <c r="F93"/>
  <c r="L93"/>
  <c r="D99" i="6" s="1"/>
  <c r="Q93" i="1"/>
  <c r="R93"/>
  <c r="L94"/>
  <c r="D100" i="6" s="1"/>
  <c r="Q94" i="1"/>
  <c r="R94"/>
  <c r="L95"/>
  <c r="D101" i="6" s="1"/>
  <c r="Q95" i="1"/>
  <c r="R95"/>
  <c r="L96"/>
  <c r="D102" i="6" s="1"/>
  <c r="Q96" i="1"/>
  <c r="R96"/>
  <c r="L97"/>
  <c r="D103" i="6" s="1"/>
  <c r="Q97" i="1"/>
  <c r="R97"/>
  <c r="L98"/>
  <c r="D104" i="6" s="1"/>
  <c r="Q98" i="1"/>
  <c r="R98"/>
  <c r="L99"/>
  <c r="D105" i="6" s="1"/>
  <c r="Q99" i="1"/>
  <c r="R99"/>
  <c r="L100"/>
  <c r="D106" i="6" s="1"/>
  <c r="Q100" i="1"/>
  <c r="R100"/>
  <c r="L101"/>
  <c r="D107" i="6" s="1"/>
  <c r="Q101" i="1"/>
  <c r="R101"/>
  <c r="L102"/>
  <c r="D108" i="6" s="1"/>
  <c r="Q102" i="1"/>
  <c r="R102"/>
  <c r="L103"/>
  <c r="D109" i="6" s="1"/>
  <c r="Q103" i="1"/>
  <c r="R103"/>
  <c r="L104"/>
  <c r="D110" i="6" s="1"/>
  <c r="Q104" i="1"/>
  <c r="R104"/>
  <c r="L105"/>
  <c r="D111" i="6" s="1"/>
  <c r="Q105" i="1"/>
  <c r="R105"/>
  <c r="L106"/>
  <c r="D112" i="6" s="1"/>
  <c r="Q106" i="1"/>
  <c r="R106"/>
  <c r="L107"/>
  <c r="D113" i="6" s="1"/>
  <c r="Q107" i="1"/>
  <c r="R107"/>
  <c r="L108"/>
  <c r="D114" i="6" s="1"/>
  <c r="Q108" i="1"/>
  <c r="R108"/>
  <c r="L109"/>
  <c r="D115" i="6" s="1"/>
  <c r="Q109" i="1"/>
  <c r="R109"/>
  <c r="L110"/>
  <c r="D116" i="6" s="1"/>
  <c r="Q110" i="1"/>
  <c r="R110"/>
  <c r="L111"/>
  <c r="D117" i="6" s="1"/>
  <c r="Q111" i="1"/>
  <c r="R111"/>
  <c r="L112"/>
  <c r="D118" i="6" s="1"/>
  <c r="Q112" i="1"/>
  <c r="R112"/>
  <c r="L113"/>
  <c r="D119" i="6" s="1"/>
  <c r="Q113" i="1"/>
  <c r="R113"/>
  <c r="L114"/>
  <c r="D120" i="6" s="1"/>
  <c r="Q114" i="1"/>
  <c r="R114"/>
  <c r="L115"/>
  <c r="D121" i="6" s="1"/>
  <c r="Q115" i="1"/>
  <c r="R115"/>
  <c r="G34"/>
  <c r="K34"/>
  <c r="C64" i="6" s="1"/>
  <c r="L35" i="1"/>
  <c r="D65" i="6" s="1"/>
  <c r="Q35" i="1"/>
  <c r="R35"/>
  <c r="L36"/>
  <c r="D66" i="6" s="1"/>
  <c r="Q36" i="1"/>
  <c r="R36"/>
  <c r="L38"/>
  <c r="D83" i="6" s="1"/>
  <c r="Q38" i="1"/>
  <c r="R38"/>
  <c r="L39"/>
  <c r="D84" i="6" s="1"/>
  <c r="Q39" i="1"/>
  <c r="R39"/>
  <c r="L41"/>
  <c r="D40" i="6" s="1"/>
  <c r="Q41" i="1"/>
  <c r="R41"/>
  <c r="F42"/>
  <c r="L42"/>
  <c r="D41" i="6" s="1"/>
  <c r="Q42" i="1"/>
  <c r="R42"/>
  <c r="L44"/>
  <c r="D49" i="6" s="1"/>
  <c r="Q44" i="1"/>
  <c r="R44"/>
  <c r="F45"/>
  <c r="L45"/>
  <c r="D50" i="6" s="1"/>
  <c r="Q45" i="1"/>
  <c r="R45"/>
  <c r="N46"/>
  <c r="G67" i="6" s="1"/>
  <c r="F48" i="1"/>
  <c r="L48"/>
  <c r="D69" i="6" s="1"/>
  <c r="Q48" i="1"/>
  <c r="R48"/>
  <c r="L50"/>
  <c r="D74" i="6" s="1"/>
  <c r="Q50" i="1"/>
  <c r="R50"/>
  <c r="F51"/>
  <c r="L51"/>
  <c r="D75" i="6" s="1"/>
  <c r="Q51" i="1"/>
  <c r="R51"/>
  <c r="L53"/>
  <c r="D71" i="6" s="1"/>
  <c r="Q53" i="1"/>
  <c r="R53"/>
  <c r="F54"/>
  <c r="L54"/>
  <c r="D72" i="6" s="1"/>
  <c r="Q54" i="1"/>
  <c r="R54"/>
  <c r="L56"/>
  <c r="D46" i="6" s="1"/>
  <c r="Q56" i="1"/>
  <c r="R56"/>
  <c r="F57"/>
  <c r="L57"/>
  <c r="D47" i="6" s="1"/>
  <c r="Q57" i="1"/>
  <c r="R57"/>
  <c r="L59"/>
  <c r="D59" i="6" s="1"/>
  <c r="Q59" i="1"/>
  <c r="R59"/>
  <c r="F60"/>
  <c r="L60"/>
  <c r="D60" i="6" s="1"/>
  <c r="Q60" i="1"/>
  <c r="R60"/>
  <c r="L62"/>
  <c r="D86" i="6" s="1"/>
  <c r="Q62" i="1"/>
  <c r="R62"/>
  <c r="F63"/>
  <c r="L63"/>
  <c r="D87" i="6" s="1"/>
  <c r="Q63" i="1"/>
  <c r="R63"/>
  <c r="F66"/>
  <c r="L66"/>
  <c r="D54" i="6" s="1"/>
  <c r="Q66" i="1"/>
  <c r="R66"/>
  <c r="L68"/>
  <c r="D56" i="6" s="1"/>
  <c r="Q68" i="1"/>
  <c r="R68"/>
  <c r="F69"/>
  <c r="L69"/>
  <c r="D57" i="6" s="1"/>
  <c r="Q69" i="1"/>
  <c r="R69"/>
  <c r="D89" i="6"/>
  <c r="Q71" i="1"/>
  <c r="R71"/>
  <c r="F72"/>
  <c r="L72"/>
  <c r="D90" i="6" s="1"/>
  <c r="Q72" i="1"/>
  <c r="R72"/>
  <c r="L74"/>
  <c r="D34" i="6" s="1"/>
  <c r="Q74" i="1"/>
  <c r="R74"/>
  <c r="F75"/>
  <c r="L75"/>
  <c r="D35" i="6" s="1"/>
  <c r="Q75" i="1"/>
  <c r="R75"/>
  <c r="L77"/>
  <c r="D80" i="6" s="1"/>
  <c r="Q77" i="1"/>
  <c r="R77"/>
  <c r="F78"/>
  <c r="L78"/>
  <c r="D81" i="6" s="1"/>
  <c r="Q78" i="1"/>
  <c r="R78"/>
  <c r="L80"/>
  <c r="D62" i="6" s="1"/>
  <c r="Q80" i="1"/>
  <c r="R80"/>
  <c r="F81"/>
  <c r="L81"/>
  <c r="D63" i="6" s="1"/>
  <c r="Q81" i="1"/>
  <c r="R81"/>
  <c r="L83"/>
  <c r="D37" i="6" s="1"/>
  <c r="Q83" i="1"/>
  <c r="R83"/>
  <c r="F84"/>
  <c r="L84"/>
  <c r="D38" i="6" s="1"/>
  <c r="Q84" i="1"/>
  <c r="R84"/>
  <c r="K82" i="4" l="1"/>
  <c r="N82"/>
  <c r="O82" s="1"/>
  <c r="M82"/>
  <c r="P82"/>
  <c r="B34"/>
  <c r="F142" i="6"/>
  <c r="O142"/>
  <c r="P142" s="1"/>
  <c r="N142"/>
  <c r="H142"/>
  <c r="L142"/>
  <c r="J142"/>
  <c r="D36" i="12"/>
  <c r="D36" i="9"/>
  <c r="C35" i="12"/>
  <c r="C35" i="9"/>
  <c r="F8" i="7"/>
  <c r="O8"/>
  <c r="P8" s="1"/>
  <c r="J8"/>
  <c r="H8"/>
  <c r="L8"/>
  <c r="N8"/>
  <c r="D9"/>
  <c r="D47" i="12" s="1"/>
  <c r="D45"/>
  <c r="L45" s="1"/>
  <c r="D11"/>
  <c r="D11" i="9"/>
  <c r="D12" i="12"/>
  <c r="D12" i="9"/>
  <c r="D69"/>
  <c r="D71" i="12"/>
  <c r="D72"/>
  <c r="D70" i="9"/>
  <c r="D49"/>
  <c r="D50" i="12"/>
  <c r="D49"/>
  <c r="D48" i="9"/>
  <c r="D27"/>
  <c r="D27" i="12"/>
  <c r="D26"/>
  <c r="D26" i="9"/>
  <c r="D66" i="12"/>
  <c r="D61" i="9"/>
  <c r="D65" i="12"/>
  <c r="D60" i="9"/>
  <c r="D59" i="12"/>
  <c r="D67" i="9"/>
  <c r="D58" i="12"/>
  <c r="D66" i="9"/>
  <c r="D60" i="12"/>
  <c r="D9" i="13"/>
  <c r="D55" i="9"/>
  <c r="D54"/>
  <c r="G38" i="12"/>
  <c r="G38" i="9"/>
  <c r="D40" i="12"/>
  <c r="D40" i="9"/>
  <c r="D37"/>
  <c r="D37" i="12"/>
  <c r="D45" i="9"/>
  <c r="D42" i="12"/>
  <c r="D43"/>
  <c r="D46" i="9"/>
  <c r="D20"/>
  <c r="D20" i="12"/>
  <c r="D21" i="9"/>
  <c r="D21" i="12"/>
  <c r="F40" i="6"/>
  <c r="D14" i="9"/>
  <c r="D14" i="12"/>
  <c r="O40" i="6"/>
  <c r="L40"/>
  <c r="J40"/>
  <c r="H40"/>
  <c r="N40"/>
  <c r="F41"/>
  <c r="D15" i="12"/>
  <c r="D15" i="9"/>
  <c r="O41" i="6"/>
  <c r="L41"/>
  <c r="J41"/>
  <c r="H41"/>
  <c r="N41"/>
  <c r="D31" i="9"/>
  <c r="D31" i="12"/>
  <c r="D24" i="9"/>
  <c r="D24" i="12"/>
  <c r="D23"/>
  <c r="D23" i="9"/>
  <c r="D64"/>
  <c r="D69" i="12"/>
  <c r="D53"/>
  <c r="D52" i="9"/>
  <c r="D52" i="12"/>
  <c r="D51" i="9"/>
  <c r="D43"/>
  <c r="D46" i="12"/>
  <c r="D42" i="9"/>
  <c r="D34" i="12"/>
  <c r="D34" i="9"/>
  <c r="D33"/>
  <c r="D33" i="12"/>
  <c r="I75"/>
  <c r="I73" i="9"/>
  <c r="E76" i="12"/>
  <c r="E74" i="9"/>
  <c r="G74"/>
  <c r="G76" i="12"/>
  <c r="E75"/>
  <c r="E73" i="9"/>
  <c r="I76" i="12"/>
  <c r="I74" i="9"/>
  <c r="C75" i="12"/>
  <c r="C73" i="9"/>
  <c r="D75"/>
  <c r="D77" i="12"/>
  <c r="K74" i="9"/>
  <c r="K76" i="12"/>
  <c r="C76"/>
  <c r="C74" i="9"/>
  <c r="D68" i="12"/>
  <c r="D63" i="9"/>
  <c r="Q126" i="1"/>
  <c r="F9" i="7"/>
  <c r="R126" i="1"/>
  <c r="D111" i="9"/>
  <c r="D133" i="6"/>
  <c r="D137" s="1"/>
  <c r="C56" i="4" s="1"/>
  <c r="L126" i="1"/>
  <c r="H89" i="6"/>
  <c r="J89"/>
  <c r="F89"/>
  <c r="L89"/>
  <c r="N89"/>
  <c r="F47"/>
  <c r="L47"/>
  <c r="J47"/>
  <c r="H47"/>
  <c r="N47"/>
  <c r="H46"/>
  <c r="J46"/>
  <c r="L46"/>
  <c r="F46"/>
  <c r="N46"/>
  <c r="L84"/>
  <c r="F84"/>
  <c r="J84"/>
  <c r="H84"/>
  <c r="N84"/>
  <c r="F103"/>
  <c r="H111"/>
  <c r="J99"/>
  <c r="L103"/>
  <c r="F108"/>
  <c r="H104"/>
  <c r="J100"/>
  <c r="L112"/>
  <c r="F109"/>
  <c r="J101"/>
  <c r="L105"/>
  <c r="F102"/>
  <c r="F107"/>
  <c r="H99"/>
  <c r="J103"/>
  <c r="L107"/>
  <c r="F112"/>
  <c r="H108"/>
  <c r="J104"/>
  <c r="L100"/>
  <c r="H101"/>
  <c r="J105"/>
  <c r="L109"/>
  <c r="F106"/>
  <c r="H102"/>
  <c r="J110"/>
  <c r="L102"/>
  <c r="F99"/>
  <c r="F111"/>
  <c r="H103"/>
  <c r="J107"/>
  <c r="L111"/>
  <c r="F100"/>
  <c r="H112"/>
  <c r="J108"/>
  <c r="L104"/>
  <c r="F101"/>
  <c r="H105"/>
  <c r="J109"/>
  <c r="F110"/>
  <c r="H106"/>
  <c r="J98"/>
  <c r="L106"/>
  <c r="H107"/>
  <c r="J111"/>
  <c r="L99"/>
  <c r="F104"/>
  <c r="H100"/>
  <c r="J112"/>
  <c r="L108"/>
  <c r="F105"/>
  <c r="H109"/>
  <c r="L101"/>
  <c r="F98"/>
  <c r="H110"/>
  <c r="J102"/>
  <c r="L110"/>
  <c r="L98"/>
  <c r="H98"/>
  <c r="J106"/>
  <c r="N110"/>
  <c r="N112"/>
  <c r="N100"/>
  <c r="N103"/>
  <c r="N109"/>
  <c r="N98"/>
  <c r="N102"/>
  <c r="N111"/>
  <c r="N106"/>
  <c r="N99"/>
  <c r="N105"/>
  <c r="N107"/>
  <c r="N101"/>
  <c r="N108"/>
  <c r="N104"/>
  <c r="J94"/>
  <c r="F94"/>
  <c r="H94"/>
  <c r="L94"/>
  <c r="N94"/>
  <c r="L130"/>
  <c r="F130"/>
  <c r="H130"/>
  <c r="J130"/>
  <c r="N130"/>
  <c r="H139"/>
  <c r="L139"/>
  <c r="F139"/>
  <c r="J139"/>
  <c r="N139"/>
  <c r="H22"/>
  <c r="F22"/>
  <c r="L22"/>
  <c r="J22"/>
  <c r="N22"/>
  <c r="F14"/>
  <c r="L14"/>
  <c r="J14"/>
  <c r="H14"/>
  <c r="N14"/>
  <c r="F13"/>
  <c r="L13"/>
  <c r="J13"/>
  <c r="H13"/>
  <c r="N13"/>
  <c r="J34"/>
  <c r="L34"/>
  <c r="F34"/>
  <c r="H34"/>
  <c r="N34"/>
  <c r="F60"/>
  <c r="L60"/>
  <c r="J60"/>
  <c r="H60"/>
  <c r="N60"/>
  <c r="F59"/>
  <c r="H59"/>
  <c r="L59"/>
  <c r="J59"/>
  <c r="N59"/>
  <c r="J69"/>
  <c r="H69"/>
  <c r="F69"/>
  <c r="L69"/>
  <c r="N69"/>
  <c r="F65"/>
  <c r="H65"/>
  <c r="L65"/>
  <c r="J65"/>
  <c r="N65"/>
  <c r="H95"/>
  <c r="F95"/>
  <c r="L95"/>
  <c r="J95"/>
  <c r="N95"/>
  <c r="F141"/>
  <c r="L141"/>
  <c r="J141"/>
  <c r="H141"/>
  <c r="N141"/>
  <c r="H77"/>
  <c r="L77"/>
  <c r="F77"/>
  <c r="J77"/>
  <c r="N77"/>
  <c r="F20"/>
  <c r="H20"/>
  <c r="J20"/>
  <c r="L20"/>
  <c r="N20"/>
  <c r="H16"/>
  <c r="J16"/>
  <c r="L16"/>
  <c r="F16"/>
  <c r="N16"/>
  <c r="J19"/>
  <c r="L19"/>
  <c r="F19"/>
  <c r="H19"/>
  <c r="N19"/>
  <c r="H37"/>
  <c r="L37"/>
  <c r="F37"/>
  <c r="J37"/>
  <c r="N37"/>
  <c r="J35"/>
  <c r="H35"/>
  <c r="F35"/>
  <c r="L35"/>
  <c r="N35"/>
  <c r="L81"/>
  <c r="J81"/>
  <c r="H81"/>
  <c r="F81"/>
  <c r="N81"/>
  <c r="H80"/>
  <c r="L80"/>
  <c r="F80"/>
  <c r="J80"/>
  <c r="N80"/>
  <c r="H54"/>
  <c r="F54"/>
  <c r="L54"/>
  <c r="J54"/>
  <c r="N54"/>
  <c r="F87"/>
  <c r="L87"/>
  <c r="J87"/>
  <c r="H87"/>
  <c r="N87"/>
  <c r="F86"/>
  <c r="H86"/>
  <c r="J86"/>
  <c r="L86"/>
  <c r="N86"/>
  <c r="J75"/>
  <c r="H75"/>
  <c r="F75"/>
  <c r="L75"/>
  <c r="N75"/>
  <c r="J74"/>
  <c r="L74"/>
  <c r="F74"/>
  <c r="H74"/>
  <c r="N74"/>
  <c r="H50"/>
  <c r="L50"/>
  <c r="F50"/>
  <c r="J50"/>
  <c r="N50"/>
  <c r="L49"/>
  <c r="F49"/>
  <c r="H49"/>
  <c r="J49"/>
  <c r="N49"/>
  <c r="F66"/>
  <c r="L66"/>
  <c r="J66"/>
  <c r="H66"/>
  <c r="N66"/>
  <c r="F119"/>
  <c r="J115"/>
  <c r="L119"/>
  <c r="H120"/>
  <c r="J116"/>
  <c r="H113"/>
  <c r="J117"/>
  <c r="L121"/>
  <c r="F118"/>
  <c r="H115"/>
  <c r="J119"/>
  <c r="J120"/>
  <c r="L116"/>
  <c r="F113"/>
  <c r="H117"/>
  <c r="J121"/>
  <c r="H118"/>
  <c r="L118"/>
  <c r="H119"/>
  <c r="F116"/>
  <c r="L120"/>
  <c r="F117"/>
  <c r="H121"/>
  <c r="L113"/>
  <c r="J114"/>
  <c r="F115"/>
  <c r="L115"/>
  <c r="F120"/>
  <c r="H116"/>
  <c r="F121"/>
  <c r="J113"/>
  <c r="L117"/>
  <c r="F114"/>
  <c r="J118"/>
  <c r="L114"/>
  <c r="H114"/>
  <c r="N118"/>
  <c r="N121"/>
  <c r="N116"/>
  <c r="N117"/>
  <c r="N119"/>
  <c r="N113"/>
  <c r="N114"/>
  <c r="N115"/>
  <c r="N120"/>
  <c r="L96"/>
  <c r="F96"/>
  <c r="H96"/>
  <c r="J96"/>
  <c r="N96"/>
  <c r="F92"/>
  <c r="H92"/>
  <c r="J92"/>
  <c r="L92"/>
  <c r="N92"/>
  <c r="F125"/>
  <c r="H125"/>
  <c r="J125"/>
  <c r="L125"/>
  <c r="N125"/>
  <c r="F124"/>
  <c r="L124"/>
  <c r="J124"/>
  <c r="H124"/>
  <c r="N124"/>
  <c r="F123"/>
  <c r="H123"/>
  <c r="L123"/>
  <c r="J123"/>
  <c r="N123"/>
  <c r="J140"/>
  <c r="L140"/>
  <c r="F140"/>
  <c r="H140"/>
  <c r="N140"/>
  <c r="L78"/>
  <c r="J78"/>
  <c r="H78"/>
  <c r="F78"/>
  <c r="N78"/>
  <c r="F15"/>
  <c r="L15"/>
  <c r="J15"/>
  <c r="H15"/>
  <c r="N15"/>
  <c r="F18"/>
  <c r="L18"/>
  <c r="J18"/>
  <c r="H18"/>
  <c r="N18"/>
  <c r="J21"/>
  <c r="H21"/>
  <c r="F21"/>
  <c r="L21"/>
  <c r="N21"/>
  <c r="F38"/>
  <c r="L38"/>
  <c r="J38"/>
  <c r="H38"/>
  <c r="N38"/>
  <c r="J90"/>
  <c r="H90"/>
  <c r="F90"/>
  <c r="L90"/>
  <c r="N90"/>
  <c r="L63"/>
  <c r="J63"/>
  <c r="H63"/>
  <c r="F63"/>
  <c r="N63"/>
  <c r="H62"/>
  <c r="J62"/>
  <c r="L62"/>
  <c r="F62"/>
  <c r="N62"/>
  <c r="H57"/>
  <c r="F57"/>
  <c r="L57"/>
  <c r="J57"/>
  <c r="N57"/>
  <c r="L56"/>
  <c r="F56"/>
  <c r="H56"/>
  <c r="J56"/>
  <c r="N56"/>
  <c r="L72"/>
  <c r="J72"/>
  <c r="H72"/>
  <c r="F72"/>
  <c r="N72"/>
  <c r="F71"/>
  <c r="H71"/>
  <c r="L71"/>
  <c r="J71"/>
  <c r="N71"/>
  <c r="F83"/>
  <c r="H83"/>
  <c r="J83"/>
  <c r="L83"/>
  <c r="N83"/>
  <c r="H97"/>
  <c r="F97"/>
  <c r="L97"/>
  <c r="J97"/>
  <c r="N97"/>
  <c r="F93"/>
  <c r="L93"/>
  <c r="J93"/>
  <c r="H93"/>
  <c r="N93"/>
  <c r="F143"/>
  <c r="L143"/>
  <c r="J143"/>
  <c r="H143"/>
  <c r="N143"/>
  <c r="F136"/>
  <c r="J136"/>
  <c r="L136"/>
  <c r="H136"/>
  <c r="N136"/>
  <c r="J24"/>
  <c r="F24"/>
  <c r="H24"/>
  <c r="L24"/>
  <c r="N24"/>
  <c r="F17"/>
  <c r="H17"/>
  <c r="L17"/>
  <c r="J17"/>
  <c r="N17"/>
  <c r="F12"/>
  <c r="H12"/>
  <c r="L12"/>
  <c r="J12"/>
  <c r="N12"/>
  <c r="H23"/>
  <c r="F23"/>
  <c r="J23"/>
  <c r="L23"/>
  <c r="N23"/>
  <c r="O38"/>
  <c r="O89"/>
  <c r="O84"/>
  <c r="O98"/>
  <c r="P98" s="1"/>
  <c r="O94"/>
  <c r="P94" s="1"/>
  <c r="O127"/>
  <c r="O139"/>
  <c r="P139" s="1"/>
  <c r="O34"/>
  <c r="O60"/>
  <c r="O59"/>
  <c r="O69"/>
  <c r="O65"/>
  <c r="O95"/>
  <c r="P95" s="1"/>
  <c r="O141"/>
  <c r="P141" s="1"/>
  <c r="O77"/>
  <c r="O20"/>
  <c r="P20" s="1"/>
  <c r="O16"/>
  <c r="P16" s="1"/>
  <c r="O19"/>
  <c r="P19" s="1"/>
  <c r="O46"/>
  <c r="O130"/>
  <c r="O22"/>
  <c r="P22" s="1"/>
  <c r="O14"/>
  <c r="P14" s="1"/>
  <c r="O13"/>
  <c r="P13" s="1"/>
  <c r="O81"/>
  <c r="O87"/>
  <c r="O86"/>
  <c r="O75"/>
  <c r="O74"/>
  <c r="O50"/>
  <c r="O49"/>
  <c r="O66"/>
  <c r="O113"/>
  <c r="P113" s="1"/>
  <c r="O96"/>
  <c r="P96" s="1"/>
  <c r="O92"/>
  <c r="P92" s="1"/>
  <c r="O125"/>
  <c r="P125" s="1"/>
  <c r="O124"/>
  <c r="P124" s="1"/>
  <c r="O123"/>
  <c r="P123" s="1"/>
  <c r="O140"/>
  <c r="P140" s="1"/>
  <c r="O78"/>
  <c r="O15"/>
  <c r="P15" s="1"/>
  <c r="O18"/>
  <c r="P18" s="1"/>
  <c r="O21"/>
  <c r="P21" s="1"/>
  <c r="O37"/>
  <c r="O90"/>
  <c r="O47"/>
  <c r="O35"/>
  <c r="O80"/>
  <c r="O54"/>
  <c r="O63"/>
  <c r="O62"/>
  <c r="O57"/>
  <c r="O56"/>
  <c r="O72"/>
  <c r="O71"/>
  <c r="O83"/>
  <c r="O97"/>
  <c r="P97" s="1"/>
  <c r="O93"/>
  <c r="P93" s="1"/>
  <c r="O126"/>
  <c r="O143"/>
  <c r="P143" s="1"/>
  <c r="O24"/>
  <c r="P24" s="1"/>
  <c r="O17"/>
  <c r="P17" s="1"/>
  <c r="O12"/>
  <c r="P12" s="1"/>
  <c r="O23"/>
  <c r="P23" s="1"/>
  <c r="O136"/>
  <c r="D144"/>
  <c r="C60" i="4" s="1"/>
  <c r="C31" i="6"/>
  <c r="B48" i="4" s="1"/>
  <c r="M128" i="6"/>
  <c r="L122" i="1"/>
  <c r="D128" i="6" s="1"/>
  <c r="D129"/>
  <c r="L132" i="1"/>
  <c r="L139"/>
  <c r="F122"/>
  <c r="Q132"/>
  <c r="L5"/>
  <c r="D11" i="6" s="1"/>
  <c r="L116" i="1"/>
  <c r="D122" i="6" s="1"/>
  <c r="R132" i="1"/>
  <c r="I116"/>
  <c r="Q116"/>
  <c r="J34"/>
  <c r="I34"/>
  <c r="L34"/>
  <c r="D64" i="6" s="1"/>
  <c r="H34" i="1"/>
  <c r="F34"/>
  <c r="J116"/>
  <c r="M28"/>
  <c r="E76" i="6" s="1"/>
  <c r="E28" i="1"/>
  <c r="L28"/>
  <c r="D76" i="6" s="1"/>
  <c r="H28" i="1"/>
  <c r="P116"/>
  <c r="K122" i="6" s="1"/>
  <c r="B31" i="1"/>
  <c r="O28"/>
  <c r="I76" i="6" s="1"/>
  <c r="K28" i="1"/>
  <c r="C76" i="6" s="1"/>
  <c r="G28" i="1"/>
  <c r="C28"/>
  <c r="R116"/>
  <c r="N116"/>
  <c r="G122" i="6" s="1"/>
  <c r="Q28" i="1"/>
  <c r="I28"/>
  <c r="G49"/>
  <c r="B37"/>
  <c r="P28"/>
  <c r="K76" i="6" s="1"/>
  <c r="D28" i="1"/>
  <c r="F82"/>
  <c r="F79"/>
  <c r="F76"/>
  <c r="F73"/>
  <c r="F70"/>
  <c r="R28"/>
  <c r="N28"/>
  <c r="G76" i="6" s="1"/>
  <c r="J28" i="1"/>
  <c r="F28"/>
  <c r="B49"/>
  <c r="Q82"/>
  <c r="E82"/>
  <c r="R79"/>
  <c r="J79"/>
  <c r="O76"/>
  <c r="I79" i="6" s="1"/>
  <c r="G76" i="1"/>
  <c r="N85"/>
  <c r="G91" i="6" s="1"/>
  <c r="R85" i="1"/>
  <c r="J85"/>
  <c r="R70"/>
  <c r="J70"/>
  <c r="K67"/>
  <c r="C55" i="6" s="1"/>
  <c r="G67" i="1"/>
  <c r="K61"/>
  <c r="C85" i="6" s="1"/>
  <c r="G61" i="1"/>
  <c r="K58"/>
  <c r="C58" i="6" s="1"/>
  <c r="G58" i="1"/>
  <c r="K55"/>
  <c r="C45" i="6" s="1"/>
  <c r="C55" i="1"/>
  <c r="G52"/>
  <c r="M73"/>
  <c r="E33" i="6" s="1"/>
  <c r="E73" i="1"/>
  <c r="M70"/>
  <c r="E88" i="6" s="1"/>
  <c r="I70" i="1"/>
  <c r="N67"/>
  <c r="G55" i="6" s="1"/>
  <c r="N61" i="1"/>
  <c r="G85" i="6" s="1"/>
  <c r="F61" i="1"/>
  <c r="R58"/>
  <c r="N58"/>
  <c r="G58" i="6" s="1"/>
  <c r="J58" i="1"/>
  <c r="F58"/>
  <c r="R55"/>
  <c r="N55"/>
  <c r="G45" i="6" s="1"/>
  <c r="J55" i="1"/>
  <c r="F55"/>
  <c r="R52"/>
  <c r="N52"/>
  <c r="G70" i="6" s="1"/>
  <c r="J52" i="1"/>
  <c r="F52"/>
  <c r="R49"/>
  <c r="N49"/>
  <c r="G73" i="6" s="1"/>
  <c r="J49" i="1"/>
  <c r="M82"/>
  <c r="E36" i="6" s="1"/>
  <c r="I82" i="1"/>
  <c r="N79"/>
  <c r="G61" i="6" s="1"/>
  <c r="K76" i="1"/>
  <c r="C79" i="6" s="1"/>
  <c r="C76" i="1"/>
  <c r="F85"/>
  <c r="N70"/>
  <c r="G88" i="6" s="1"/>
  <c r="O67" i="1"/>
  <c r="I55" i="6" s="1"/>
  <c r="C67" i="1"/>
  <c r="O61"/>
  <c r="I85" i="6" s="1"/>
  <c r="C61" i="1"/>
  <c r="O58"/>
  <c r="I58" i="6" s="1"/>
  <c r="C58" i="1"/>
  <c r="O55"/>
  <c r="I45" i="6" s="1"/>
  <c r="G55" i="1"/>
  <c r="O52"/>
  <c r="I70" i="6" s="1"/>
  <c r="K52" i="1"/>
  <c r="C70" i="6" s="1"/>
  <c r="C52" i="1"/>
  <c r="O49"/>
  <c r="I73" i="6" s="1"/>
  <c r="K49" i="1"/>
  <c r="C73" i="6" s="1"/>
  <c r="C49" i="1"/>
  <c r="O46"/>
  <c r="I67" i="6" s="1"/>
  <c r="G46" i="1"/>
  <c r="O43"/>
  <c r="I48" i="6" s="1"/>
  <c r="K43" i="1"/>
  <c r="C48" i="6" s="1"/>
  <c r="G43" i="1"/>
  <c r="C43"/>
  <c r="O40"/>
  <c r="I39" i="6" s="1"/>
  <c r="K40" i="1"/>
  <c r="C39" i="6" s="1"/>
  <c r="G40" i="1"/>
  <c r="C40"/>
  <c r="O37"/>
  <c r="I82" i="6" s="1"/>
  <c r="K37" i="1"/>
  <c r="C82" i="6" s="1"/>
  <c r="G37" i="1"/>
  <c r="C37"/>
  <c r="O34"/>
  <c r="I64" i="6" s="1"/>
  <c r="C34" i="1"/>
  <c r="Q73"/>
  <c r="I73"/>
  <c r="Q70"/>
  <c r="E70"/>
  <c r="R67"/>
  <c r="R61"/>
  <c r="J61"/>
  <c r="R82"/>
  <c r="N82"/>
  <c r="G36" i="6" s="1"/>
  <c r="J82" i="1"/>
  <c r="O79"/>
  <c r="I61" i="6" s="1"/>
  <c r="K79" i="1"/>
  <c r="C61" i="6" s="1"/>
  <c r="G79" i="1"/>
  <c r="C79"/>
  <c r="P76"/>
  <c r="K79" i="6" s="1"/>
  <c r="L76" i="1"/>
  <c r="D79" i="6" s="1"/>
  <c r="H76" i="1"/>
  <c r="D76"/>
  <c r="P73"/>
  <c r="K33" i="6" s="1"/>
  <c r="L73" i="1"/>
  <c r="D33" i="6" s="1"/>
  <c r="H73" i="1"/>
  <c r="D73"/>
  <c r="J46"/>
  <c r="R43"/>
  <c r="J43"/>
  <c r="R40"/>
  <c r="F40"/>
  <c r="N37"/>
  <c r="G82" i="6" s="1"/>
  <c r="J37" i="1"/>
  <c r="R34"/>
  <c r="Q85"/>
  <c r="E85"/>
  <c r="P82"/>
  <c r="K36" i="6" s="1"/>
  <c r="L82" i="1"/>
  <c r="D36" i="6" s="1"/>
  <c r="H82" i="1"/>
  <c r="D82"/>
  <c r="Q79"/>
  <c r="M79"/>
  <c r="E61" i="6" s="1"/>
  <c r="I79" i="1"/>
  <c r="E79"/>
  <c r="R76"/>
  <c r="N76"/>
  <c r="G79" i="6" s="1"/>
  <c r="J76" i="1"/>
  <c r="O73"/>
  <c r="I33" i="6" s="1"/>
  <c r="K73" i="1"/>
  <c r="C33" i="6" s="1"/>
  <c r="G73" i="1"/>
  <c r="C73"/>
  <c r="P70"/>
  <c r="K88" i="6" s="1"/>
  <c r="L70" i="1"/>
  <c r="D88" i="6" s="1"/>
  <c r="H70" i="1"/>
  <c r="D70"/>
  <c r="Q67"/>
  <c r="M67"/>
  <c r="E55" i="6" s="1"/>
  <c r="I67" i="1"/>
  <c r="E67"/>
  <c r="Q61"/>
  <c r="M61"/>
  <c r="E85" i="6" s="1"/>
  <c r="I61" i="1"/>
  <c r="E61"/>
  <c r="Q58"/>
  <c r="M58"/>
  <c r="E58" i="6" s="1"/>
  <c r="I58" i="1"/>
  <c r="E58"/>
  <c r="Q55"/>
  <c r="M55"/>
  <c r="E45" i="6" s="1"/>
  <c r="I55" i="1"/>
  <c r="E55"/>
  <c r="Q52"/>
  <c r="M52"/>
  <c r="E70" i="6" s="1"/>
  <c r="I52" i="1"/>
  <c r="E52"/>
  <c r="Q49"/>
  <c r="M49"/>
  <c r="E73" i="6" s="1"/>
  <c r="I49" i="1"/>
  <c r="E49"/>
  <c r="M46"/>
  <c r="E67" i="6" s="1"/>
  <c r="I46" i="1"/>
  <c r="E46"/>
  <c r="Q43"/>
  <c r="M43"/>
  <c r="E48" i="6" s="1"/>
  <c r="I43" i="1"/>
  <c r="E43"/>
  <c r="Q40"/>
  <c r="M40"/>
  <c r="E39" i="6" s="1"/>
  <c r="I40" i="1"/>
  <c r="E40"/>
  <c r="Q37"/>
  <c r="M37"/>
  <c r="E82" i="6" s="1"/>
  <c r="I37" i="1"/>
  <c r="E37"/>
  <c r="Q34"/>
  <c r="M34"/>
  <c r="E64" i="6" s="1"/>
  <c r="E34" i="1"/>
  <c r="P85"/>
  <c r="K91" i="6" s="1"/>
  <c r="L85" i="1"/>
  <c r="D91" i="6" s="1"/>
  <c r="H85" i="1"/>
  <c r="D85"/>
  <c r="F49"/>
  <c r="N43"/>
  <c r="G48" i="6" s="1"/>
  <c r="F43" i="1"/>
  <c r="N40"/>
  <c r="G39" i="6" s="1"/>
  <c r="J40" i="1"/>
  <c r="R37"/>
  <c r="F37"/>
  <c r="N34"/>
  <c r="G64" i="6" s="1"/>
  <c r="M85" i="1"/>
  <c r="E91" i="6" s="1"/>
  <c r="I85" i="1"/>
  <c r="O82"/>
  <c r="I36" i="6" s="1"/>
  <c r="K82" i="1"/>
  <c r="C36" i="6" s="1"/>
  <c r="G82" i="1"/>
  <c r="C82"/>
  <c r="P79"/>
  <c r="K61" i="6" s="1"/>
  <c r="L79" i="1"/>
  <c r="D61" i="6" s="1"/>
  <c r="H79" i="1"/>
  <c r="D79"/>
  <c r="Q76"/>
  <c r="M76"/>
  <c r="E79" i="6" s="1"/>
  <c r="I76" i="1"/>
  <c r="E76"/>
  <c r="R73"/>
  <c r="N73"/>
  <c r="G33" i="6" s="1"/>
  <c r="J73" i="1"/>
  <c r="O70"/>
  <c r="I88" i="6" s="1"/>
  <c r="K70" i="1"/>
  <c r="C88" i="6" s="1"/>
  <c r="G70" i="1"/>
  <c r="C70"/>
  <c r="P67"/>
  <c r="K55" i="6" s="1"/>
  <c r="L67" i="1"/>
  <c r="D55" i="6" s="1"/>
  <c r="H67" i="1"/>
  <c r="D67"/>
  <c r="P61"/>
  <c r="K85" i="6" s="1"/>
  <c r="L61" i="1"/>
  <c r="D85" i="6" s="1"/>
  <c r="H61" i="1"/>
  <c r="D61"/>
  <c r="P58"/>
  <c r="K58" i="6" s="1"/>
  <c r="L58" i="1"/>
  <c r="D58" i="6" s="1"/>
  <c r="H58" i="1"/>
  <c r="D58"/>
  <c r="P55"/>
  <c r="K45" i="6" s="1"/>
  <c r="L55" i="1"/>
  <c r="D45" i="6" s="1"/>
  <c r="H55" i="1"/>
  <c r="D55"/>
  <c r="P52"/>
  <c r="K70" i="6" s="1"/>
  <c r="L52" i="1"/>
  <c r="D70" i="6" s="1"/>
  <c r="H52" i="1"/>
  <c r="D52"/>
  <c r="P49"/>
  <c r="K73" i="6" s="1"/>
  <c r="L49" i="1"/>
  <c r="D73" i="6" s="1"/>
  <c r="H49" i="1"/>
  <c r="D49"/>
  <c r="P46"/>
  <c r="K67" i="6" s="1"/>
  <c r="H46" i="1"/>
  <c r="D46"/>
  <c r="P43"/>
  <c r="K48" i="6" s="1"/>
  <c r="L43" i="1"/>
  <c r="D48" i="6" s="1"/>
  <c r="H43" i="1"/>
  <c r="D43"/>
  <c r="P40"/>
  <c r="K39" i="6" s="1"/>
  <c r="L40" i="1"/>
  <c r="D39" i="6" s="1"/>
  <c r="H40" i="1"/>
  <c r="D40"/>
  <c r="P37"/>
  <c r="K82" i="6" s="1"/>
  <c r="L37" i="1"/>
  <c r="D82" i="6" s="1"/>
  <c r="H37" i="1"/>
  <c r="D37"/>
  <c r="P34"/>
  <c r="K64" i="6" s="1"/>
  <c r="D34" i="1"/>
  <c r="O85"/>
  <c r="I91" i="6" s="1"/>
  <c r="K85" i="1"/>
  <c r="C91" i="6" s="1"/>
  <c r="G85" i="1"/>
  <c r="C85"/>
  <c r="J67"/>
  <c r="F67"/>
  <c r="Q82" i="4" l="1"/>
  <c r="P34"/>
  <c r="D10" i="7"/>
  <c r="C65" i="4" s="1"/>
  <c r="D113" i="9"/>
  <c r="O113" s="1"/>
  <c r="P113" s="1"/>
  <c r="H9" i="7"/>
  <c r="C30" i="11"/>
  <c r="D30" s="1"/>
  <c r="B35" i="4"/>
  <c r="C31" i="11" s="1"/>
  <c r="D31" s="1"/>
  <c r="B40" i="4"/>
  <c r="C36" i="11" s="1"/>
  <c r="D36" s="1"/>
  <c r="O36" i="9"/>
  <c r="P36" s="1"/>
  <c r="O36" i="12"/>
  <c r="P36" s="1"/>
  <c r="L111" i="9"/>
  <c r="N111"/>
  <c r="L77" i="12"/>
  <c r="J77"/>
  <c r="H77"/>
  <c r="F77"/>
  <c r="N77"/>
  <c r="K35"/>
  <c r="K35" i="9"/>
  <c r="D35" i="12"/>
  <c r="D35" i="9"/>
  <c r="E35" i="12"/>
  <c r="E35" i="9"/>
  <c r="I35"/>
  <c r="I35" i="12"/>
  <c r="G35" i="9"/>
  <c r="G35" i="12"/>
  <c r="H45"/>
  <c r="N9" i="7"/>
  <c r="J9"/>
  <c r="L9"/>
  <c r="O9"/>
  <c r="O47" i="12" s="1"/>
  <c r="P47" s="1"/>
  <c r="D8" i="13"/>
  <c r="O8" s="1"/>
  <c r="J47" i="12"/>
  <c r="F47"/>
  <c r="H47"/>
  <c r="L47"/>
  <c r="N47"/>
  <c r="J45"/>
  <c r="N45"/>
  <c r="F45"/>
  <c r="O45"/>
  <c r="P45" s="1"/>
  <c r="J12" i="9"/>
  <c r="L12"/>
  <c r="F12"/>
  <c r="H12"/>
  <c r="N12"/>
  <c r="D10" i="12"/>
  <c r="D10" i="9"/>
  <c r="H12" i="12"/>
  <c r="J12"/>
  <c r="F12"/>
  <c r="L12"/>
  <c r="N12"/>
  <c r="C10" i="9"/>
  <c r="C10" i="12"/>
  <c r="K10"/>
  <c r="K10" i="9"/>
  <c r="G10" i="12"/>
  <c r="G10" i="9"/>
  <c r="L11"/>
  <c r="H11"/>
  <c r="J11"/>
  <c r="F11"/>
  <c r="N11"/>
  <c r="I10" i="12"/>
  <c r="I10" i="9"/>
  <c r="E10"/>
  <c r="E10" i="12"/>
  <c r="J11"/>
  <c r="H11"/>
  <c r="F11"/>
  <c r="L11"/>
  <c r="N11"/>
  <c r="F70" i="9"/>
  <c r="J70"/>
  <c r="L70"/>
  <c r="H70"/>
  <c r="N70"/>
  <c r="E68"/>
  <c r="E70" i="12"/>
  <c r="G68" i="9"/>
  <c r="G70" i="12"/>
  <c r="F72"/>
  <c r="J72"/>
  <c r="H72"/>
  <c r="L72"/>
  <c r="N72"/>
  <c r="I70"/>
  <c r="I68" i="9"/>
  <c r="D70" i="12"/>
  <c r="D68" i="9"/>
  <c r="L71" i="12"/>
  <c r="J71"/>
  <c r="F71"/>
  <c r="H71"/>
  <c r="N71"/>
  <c r="K70"/>
  <c r="K68" i="9"/>
  <c r="C68"/>
  <c r="C70" i="12"/>
  <c r="F69" i="9"/>
  <c r="H69"/>
  <c r="L69"/>
  <c r="J69"/>
  <c r="N69"/>
  <c r="K48" i="12"/>
  <c r="K47" i="9"/>
  <c r="C47"/>
  <c r="C48" i="12"/>
  <c r="L48" i="9"/>
  <c r="J48"/>
  <c r="H48"/>
  <c r="F48"/>
  <c r="N48"/>
  <c r="G47"/>
  <c r="G48" i="12"/>
  <c r="I47" i="9"/>
  <c r="I48" i="12"/>
  <c r="L49"/>
  <c r="J49"/>
  <c r="H49"/>
  <c r="F49"/>
  <c r="N49"/>
  <c r="L50"/>
  <c r="J50"/>
  <c r="H50"/>
  <c r="F50"/>
  <c r="N50"/>
  <c r="E48"/>
  <c r="E47" i="9"/>
  <c r="D48" i="12"/>
  <c r="D47" i="9"/>
  <c r="L49"/>
  <c r="J49"/>
  <c r="H49"/>
  <c r="F49"/>
  <c r="N49"/>
  <c r="K25"/>
  <c r="K25" i="12"/>
  <c r="L26" i="9"/>
  <c r="J26"/>
  <c r="H26"/>
  <c r="F26"/>
  <c r="N26"/>
  <c r="E25" i="12"/>
  <c r="E25" i="9"/>
  <c r="L26" i="12"/>
  <c r="J26"/>
  <c r="H26"/>
  <c r="F26"/>
  <c r="N26"/>
  <c r="G25"/>
  <c r="G25" i="9"/>
  <c r="C25"/>
  <c r="C25" i="12"/>
  <c r="J27"/>
  <c r="F27"/>
  <c r="H27"/>
  <c r="L27"/>
  <c r="N27"/>
  <c r="J33" i="6"/>
  <c r="I25" i="9"/>
  <c r="I25" i="12"/>
  <c r="D25" i="9"/>
  <c r="D25" i="12"/>
  <c r="J27" i="9"/>
  <c r="F27"/>
  <c r="H27"/>
  <c r="L27"/>
  <c r="N27"/>
  <c r="K59"/>
  <c r="K64" i="12"/>
  <c r="G64"/>
  <c r="G59" i="9"/>
  <c r="C59"/>
  <c r="C64" i="12"/>
  <c r="L60" i="9"/>
  <c r="J60"/>
  <c r="H60"/>
  <c r="F60"/>
  <c r="N60"/>
  <c r="L65" i="12"/>
  <c r="J65"/>
  <c r="H65"/>
  <c r="F65"/>
  <c r="N65"/>
  <c r="E64"/>
  <c r="E59" i="9"/>
  <c r="I64" i="12"/>
  <c r="I59" i="9"/>
  <c r="J61"/>
  <c r="F61"/>
  <c r="H61"/>
  <c r="L61"/>
  <c r="N61"/>
  <c r="D59"/>
  <c r="D64" i="12"/>
  <c r="J66"/>
  <c r="F66"/>
  <c r="H66"/>
  <c r="L66"/>
  <c r="N66"/>
  <c r="D61"/>
  <c r="D56" i="9"/>
  <c r="K57" i="12"/>
  <c r="K65" i="9"/>
  <c r="J66"/>
  <c r="L66"/>
  <c r="F66"/>
  <c r="H66"/>
  <c r="N66"/>
  <c r="G57" i="12"/>
  <c r="G65" i="9"/>
  <c r="L58" i="12"/>
  <c r="F58"/>
  <c r="H58"/>
  <c r="J58"/>
  <c r="N58"/>
  <c r="E65" i="9"/>
  <c r="E57" i="12"/>
  <c r="C57"/>
  <c r="C65" i="9"/>
  <c r="O60" i="12"/>
  <c r="P60" s="1"/>
  <c r="O9" i="13"/>
  <c r="P9" s="1"/>
  <c r="H9"/>
  <c r="F9"/>
  <c r="J9"/>
  <c r="L9"/>
  <c r="N9"/>
  <c r="J67" i="9"/>
  <c r="F67"/>
  <c r="L67"/>
  <c r="H67"/>
  <c r="N67"/>
  <c r="I57" i="12"/>
  <c r="I65" i="9"/>
  <c r="D65"/>
  <c r="D57" i="12"/>
  <c r="N60"/>
  <c r="H60"/>
  <c r="L60"/>
  <c r="F60"/>
  <c r="J60"/>
  <c r="F59"/>
  <c r="L59"/>
  <c r="J59"/>
  <c r="H59"/>
  <c r="N59"/>
  <c r="K53" i="9"/>
  <c r="C53"/>
  <c r="E53"/>
  <c r="I53"/>
  <c r="G53"/>
  <c r="L54"/>
  <c r="J54"/>
  <c r="H54"/>
  <c r="F54"/>
  <c r="N54"/>
  <c r="L55"/>
  <c r="H55"/>
  <c r="F55"/>
  <c r="J55"/>
  <c r="N55"/>
  <c r="D53"/>
  <c r="L40"/>
  <c r="J40"/>
  <c r="F40"/>
  <c r="H40"/>
  <c r="N40"/>
  <c r="E38" i="12"/>
  <c r="E38" i="9"/>
  <c r="K38" i="12"/>
  <c r="K38" i="9"/>
  <c r="L40" i="12"/>
  <c r="J40"/>
  <c r="H40"/>
  <c r="F40"/>
  <c r="N40"/>
  <c r="I38" i="9"/>
  <c r="I38" i="12"/>
  <c r="L37"/>
  <c r="J37"/>
  <c r="H37"/>
  <c r="F37"/>
  <c r="N37"/>
  <c r="L64" i="6"/>
  <c r="L37" i="9"/>
  <c r="J37"/>
  <c r="H37"/>
  <c r="F37"/>
  <c r="N37"/>
  <c r="F36"/>
  <c r="L36"/>
  <c r="J36"/>
  <c r="H36"/>
  <c r="N36"/>
  <c r="H36" i="12"/>
  <c r="L36"/>
  <c r="J36"/>
  <c r="F36"/>
  <c r="N36"/>
  <c r="C44" i="9"/>
  <c r="C41" i="12"/>
  <c r="L46" i="9"/>
  <c r="J46"/>
  <c r="H46"/>
  <c r="F46"/>
  <c r="N46"/>
  <c r="I41" i="12"/>
  <c r="I44" i="9"/>
  <c r="D41" i="12"/>
  <c r="D44" i="9"/>
  <c r="L43" i="12"/>
  <c r="J43"/>
  <c r="H43"/>
  <c r="F43"/>
  <c r="N43"/>
  <c r="J42"/>
  <c r="L42"/>
  <c r="H42"/>
  <c r="F42"/>
  <c r="N42"/>
  <c r="G41"/>
  <c r="H41" s="1"/>
  <c r="G44" i="9"/>
  <c r="K41" i="12"/>
  <c r="K44" i="9"/>
  <c r="E44"/>
  <c r="E41" i="12"/>
  <c r="J45" i="9"/>
  <c r="H45"/>
  <c r="F45"/>
  <c r="L45"/>
  <c r="N45"/>
  <c r="I19"/>
  <c r="I19" i="12"/>
  <c r="D19" i="9"/>
  <c r="D19" i="12"/>
  <c r="K19"/>
  <c r="K19" i="9"/>
  <c r="C19"/>
  <c r="C19" i="12"/>
  <c r="J20"/>
  <c r="H20"/>
  <c r="L20"/>
  <c r="F20"/>
  <c r="N20"/>
  <c r="E19"/>
  <c r="E19" i="9"/>
  <c r="F19" s="1"/>
  <c r="L21" i="12"/>
  <c r="H21"/>
  <c r="J21"/>
  <c r="F21"/>
  <c r="N21"/>
  <c r="H21" i="9"/>
  <c r="L21"/>
  <c r="J21"/>
  <c r="F21"/>
  <c r="N21"/>
  <c r="G19" i="12"/>
  <c r="G19" i="9"/>
  <c r="H19" s="1"/>
  <c r="H20"/>
  <c r="F20"/>
  <c r="J20"/>
  <c r="L20"/>
  <c r="N20"/>
  <c r="O14" i="12"/>
  <c r="P14" s="1"/>
  <c r="P40" i="6"/>
  <c r="O14" i="9"/>
  <c r="P14" s="1"/>
  <c r="E13" i="12"/>
  <c r="E13" i="9"/>
  <c r="C13"/>
  <c r="C13" i="12"/>
  <c r="F15" i="9"/>
  <c r="L15"/>
  <c r="H15"/>
  <c r="J15"/>
  <c r="N15"/>
  <c r="F14" i="12"/>
  <c r="H14"/>
  <c r="L14"/>
  <c r="J14"/>
  <c r="N14"/>
  <c r="I13"/>
  <c r="I13" i="9"/>
  <c r="F15" i="12"/>
  <c r="L15"/>
  <c r="H15"/>
  <c r="J15"/>
  <c r="N15"/>
  <c r="L14" i="9"/>
  <c r="H14"/>
  <c r="F14"/>
  <c r="J14"/>
  <c r="N14"/>
  <c r="G13"/>
  <c r="G13" i="12"/>
  <c r="P41" i="6"/>
  <c r="O15" i="12"/>
  <c r="P15" s="1"/>
  <c r="O15" i="9"/>
  <c r="P15" s="1"/>
  <c r="D13" i="12"/>
  <c r="D13" i="9"/>
  <c r="K13" i="12"/>
  <c r="K13" i="9"/>
  <c r="H31" i="12"/>
  <c r="L31"/>
  <c r="F31"/>
  <c r="J31"/>
  <c r="N31"/>
  <c r="F31" i="9"/>
  <c r="J31"/>
  <c r="L31"/>
  <c r="H31"/>
  <c r="N31"/>
  <c r="P59" i="6"/>
  <c r="O58" i="12"/>
  <c r="P58" s="1"/>
  <c r="O66" i="9"/>
  <c r="P66" s="1"/>
  <c r="P60" i="6"/>
  <c r="O59" i="12"/>
  <c r="P59" s="1"/>
  <c r="O67" i="9"/>
  <c r="P67" s="1"/>
  <c r="P81" i="6"/>
  <c r="O50" i="12"/>
  <c r="P50" s="1"/>
  <c r="O49" i="9"/>
  <c r="P49" s="1"/>
  <c r="P80" i="6"/>
  <c r="O49" i="12"/>
  <c r="P49" s="1"/>
  <c r="O48" i="9"/>
  <c r="P48" s="1"/>
  <c r="P86" i="6"/>
  <c r="O65" i="12"/>
  <c r="P65" s="1"/>
  <c r="O60" i="9"/>
  <c r="P60" s="1"/>
  <c r="P87" i="6"/>
  <c r="O66" i="12"/>
  <c r="P66" s="1"/>
  <c r="O61" i="9"/>
  <c r="P61" s="1"/>
  <c r="P62" i="6"/>
  <c r="O71" i="12"/>
  <c r="P71" s="1"/>
  <c r="O69" i="9"/>
  <c r="P69" s="1"/>
  <c r="P63" i="6"/>
  <c r="O72" i="12"/>
  <c r="P72" s="1"/>
  <c r="O70" i="9"/>
  <c r="P70" s="1"/>
  <c r="P38" i="6"/>
  <c r="O12" i="12"/>
  <c r="P12" s="1"/>
  <c r="O12" i="9"/>
  <c r="P12" s="1"/>
  <c r="P37" i="6"/>
  <c r="O11" i="9"/>
  <c r="P11" s="1"/>
  <c r="O11" i="12"/>
  <c r="P11" s="1"/>
  <c r="P78" i="6"/>
  <c r="O43" i="12"/>
  <c r="P43" s="1"/>
  <c r="O46" i="9"/>
  <c r="P46" s="1"/>
  <c r="P77" i="6"/>
  <c r="O42" i="12"/>
  <c r="P42" s="1"/>
  <c r="O45" i="9"/>
  <c r="P45" s="1"/>
  <c r="P34" i="6"/>
  <c r="O26" i="12"/>
  <c r="P26" s="1"/>
  <c r="O26" i="9"/>
  <c r="P26" s="1"/>
  <c r="P35" i="6"/>
  <c r="O27" i="12"/>
  <c r="P27" s="1"/>
  <c r="O27" i="9"/>
  <c r="P27" s="1"/>
  <c r="P65" i="6"/>
  <c r="P66"/>
  <c r="O37" i="12"/>
  <c r="P37" s="1"/>
  <c r="O37" i="9"/>
  <c r="P37" s="1"/>
  <c r="P74" i="6"/>
  <c r="O54" i="9"/>
  <c r="P54" s="1"/>
  <c r="P75" i="6"/>
  <c r="O55" i="9"/>
  <c r="P55" s="1"/>
  <c r="P69" i="6"/>
  <c r="O40" i="9"/>
  <c r="P40" s="1"/>
  <c r="O40" i="12"/>
  <c r="P40" s="1"/>
  <c r="P46" i="6"/>
  <c r="O20" i="9"/>
  <c r="P20" s="1"/>
  <c r="O20" i="12"/>
  <c r="P20" s="1"/>
  <c r="P47" i="6"/>
  <c r="O21" i="9"/>
  <c r="P21" s="1"/>
  <c r="O21" i="12"/>
  <c r="P21" s="1"/>
  <c r="P54" i="6"/>
  <c r="O31" i="12"/>
  <c r="P31" s="1"/>
  <c r="O31" i="9"/>
  <c r="P31" s="1"/>
  <c r="H46" i="12"/>
  <c r="F46"/>
  <c r="L46"/>
  <c r="J46"/>
  <c r="N46"/>
  <c r="C22"/>
  <c r="C22" i="9"/>
  <c r="P50" i="6"/>
  <c r="O24" i="12"/>
  <c r="P24" s="1"/>
  <c r="O24" i="9"/>
  <c r="P24" s="1"/>
  <c r="H23" i="12"/>
  <c r="J23"/>
  <c r="L23"/>
  <c r="F23"/>
  <c r="N23"/>
  <c r="L23" i="9"/>
  <c r="F23"/>
  <c r="J23"/>
  <c r="H23"/>
  <c r="N23"/>
  <c r="I22"/>
  <c r="I22" i="12"/>
  <c r="F24"/>
  <c r="L24"/>
  <c r="J24"/>
  <c r="H24"/>
  <c r="N24"/>
  <c r="P49" i="6"/>
  <c r="O23" i="9"/>
  <c r="P23" s="1"/>
  <c r="O23" i="12"/>
  <c r="P23" s="1"/>
  <c r="E22"/>
  <c r="E22" i="9"/>
  <c r="D22" i="12"/>
  <c r="D22" i="9"/>
  <c r="G22"/>
  <c r="G22" i="12"/>
  <c r="K22"/>
  <c r="K22" i="9"/>
  <c r="J24"/>
  <c r="H24"/>
  <c r="F24"/>
  <c r="L24"/>
  <c r="N24"/>
  <c r="C62"/>
  <c r="C67" i="12"/>
  <c r="K67"/>
  <c r="K62" i="9"/>
  <c r="E62"/>
  <c r="E67" i="12"/>
  <c r="P90" i="6"/>
  <c r="O69" i="12"/>
  <c r="P69" s="1"/>
  <c r="O64" i="9"/>
  <c r="P64" s="1"/>
  <c r="L69" i="12"/>
  <c r="F69"/>
  <c r="J69"/>
  <c r="H69"/>
  <c r="N69"/>
  <c r="I67"/>
  <c r="I62" i="9"/>
  <c r="G62"/>
  <c r="G67" i="12"/>
  <c r="J64" i="9"/>
  <c r="H64"/>
  <c r="L64"/>
  <c r="F64"/>
  <c r="N64"/>
  <c r="D50"/>
  <c r="D51" i="12"/>
  <c r="K51"/>
  <c r="K50" i="9"/>
  <c r="P83" i="6"/>
  <c r="O52" i="12"/>
  <c r="P52" s="1"/>
  <c r="O51" i="9"/>
  <c r="P51" s="1"/>
  <c r="L52" i="12"/>
  <c r="H52"/>
  <c r="F52"/>
  <c r="J52"/>
  <c r="N52"/>
  <c r="I50" i="9"/>
  <c r="J50" s="1"/>
  <c r="I51" i="12"/>
  <c r="L51" i="9"/>
  <c r="F51"/>
  <c r="H51"/>
  <c r="J51"/>
  <c r="N51"/>
  <c r="P84" i="6"/>
  <c r="O53" i="12"/>
  <c r="P53" s="1"/>
  <c r="O52" i="9"/>
  <c r="P52" s="1"/>
  <c r="H52"/>
  <c r="J52"/>
  <c r="L52"/>
  <c r="F52"/>
  <c r="N52"/>
  <c r="E50"/>
  <c r="E51" i="12"/>
  <c r="G51"/>
  <c r="G50" i="9"/>
  <c r="C50"/>
  <c r="C51" i="12"/>
  <c r="L53"/>
  <c r="J53"/>
  <c r="H53"/>
  <c r="F53"/>
  <c r="N53"/>
  <c r="G41" i="9"/>
  <c r="G44" i="12"/>
  <c r="E44"/>
  <c r="E41" i="9"/>
  <c r="P71" i="6"/>
  <c r="O42" i="9"/>
  <c r="P42" s="1"/>
  <c r="K44" i="12"/>
  <c r="K41" i="9"/>
  <c r="I44" i="12"/>
  <c r="I41" i="9"/>
  <c r="J42"/>
  <c r="L42"/>
  <c r="H42"/>
  <c r="F42"/>
  <c r="N42"/>
  <c r="D44" i="12"/>
  <c r="D41" i="9"/>
  <c r="C44" i="12"/>
  <c r="C41" i="9"/>
  <c r="P72" i="6"/>
  <c r="O46" i="12"/>
  <c r="P46" s="1"/>
  <c r="O43" i="9"/>
  <c r="P43" s="1"/>
  <c r="D10" i="13"/>
  <c r="L43" i="9"/>
  <c r="J43"/>
  <c r="H43"/>
  <c r="F43"/>
  <c r="N43"/>
  <c r="E32"/>
  <c r="E32" i="12"/>
  <c r="C32"/>
  <c r="C32" i="9"/>
  <c r="F33" i="12"/>
  <c r="H33"/>
  <c r="L33"/>
  <c r="J33"/>
  <c r="N33"/>
  <c r="D32"/>
  <c r="D32" i="9"/>
  <c r="L33"/>
  <c r="H33"/>
  <c r="J33"/>
  <c r="F33"/>
  <c r="N33"/>
  <c r="K32" i="12"/>
  <c r="K32" i="9"/>
  <c r="I32" i="12"/>
  <c r="I32" i="9"/>
  <c r="P56" i="6"/>
  <c r="O33" i="9"/>
  <c r="P33" s="1"/>
  <c r="O33" i="12"/>
  <c r="P33" s="1"/>
  <c r="L34" i="9"/>
  <c r="J34"/>
  <c r="F34"/>
  <c r="H34"/>
  <c r="N34"/>
  <c r="G32"/>
  <c r="G32" i="12"/>
  <c r="H32" s="1"/>
  <c r="P57" i="6"/>
  <c r="O34" i="12"/>
  <c r="P34" s="1"/>
  <c r="O34" i="9"/>
  <c r="P34" s="1"/>
  <c r="L34" i="12"/>
  <c r="F34"/>
  <c r="J34"/>
  <c r="H34"/>
  <c r="N34"/>
  <c r="C74"/>
  <c r="C72" i="9"/>
  <c r="G74" i="12"/>
  <c r="G72" i="9"/>
  <c r="J122" i="6"/>
  <c r="D73" i="9"/>
  <c r="F73" s="1"/>
  <c r="D75" i="12"/>
  <c r="F75" s="1"/>
  <c r="D74"/>
  <c r="D72" i="9"/>
  <c r="P130" i="6"/>
  <c r="O77" i="12"/>
  <c r="P77" s="1"/>
  <c r="O75" i="9"/>
  <c r="P75" s="1"/>
  <c r="G73"/>
  <c r="G75" i="12"/>
  <c r="H128" i="6"/>
  <c r="D74" i="9"/>
  <c r="F74" s="1"/>
  <c r="D76" i="12"/>
  <c r="H76" s="1"/>
  <c r="I72" i="9"/>
  <c r="I74" i="12"/>
  <c r="M76"/>
  <c r="M74" i="9"/>
  <c r="E74" i="12"/>
  <c r="E72" i="9"/>
  <c r="K74" i="12"/>
  <c r="K72" i="9"/>
  <c r="K73"/>
  <c r="K75" i="12"/>
  <c r="L75" i="9"/>
  <c r="F75"/>
  <c r="H75"/>
  <c r="J75"/>
  <c r="N75"/>
  <c r="D67" i="12"/>
  <c r="D62" i="9"/>
  <c r="H63"/>
  <c r="L63"/>
  <c r="F63"/>
  <c r="J63"/>
  <c r="N63"/>
  <c r="P89" i="6"/>
  <c r="O63" i="9"/>
  <c r="P63" s="1"/>
  <c r="O68" i="12"/>
  <c r="P68" s="1"/>
  <c r="N68"/>
  <c r="F68"/>
  <c r="J68"/>
  <c r="H68"/>
  <c r="L68"/>
  <c r="J91" i="6"/>
  <c r="C58" i="4"/>
  <c r="C20"/>
  <c r="K56"/>
  <c r="G56"/>
  <c r="I56"/>
  <c r="E56"/>
  <c r="N56"/>
  <c r="M56"/>
  <c r="C62"/>
  <c r="I60"/>
  <c r="G60"/>
  <c r="E60"/>
  <c r="K60"/>
  <c r="M60"/>
  <c r="N60"/>
  <c r="B49"/>
  <c r="B12"/>
  <c r="H64" i="6"/>
  <c r="F64"/>
  <c r="J64"/>
  <c r="J36"/>
  <c r="J10" i="7"/>
  <c r="L88" i="6"/>
  <c r="O111" i="9"/>
  <c r="P111" s="1"/>
  <c r="O133" i="6"/>
  <c r="O137" s="1"/>
  <c r="P137" s="1"/>
  <c r="N133"/>
  <c r="L133"/>
  <c r="J133"/>
  <c r="F133"/>
  <c r="H133"/>
  <c r="F10" i="7"/>
  <c r="J88" i="6"/>
  <c r="J76"/>
  <c r="L73"/>
  <c r="L45"/>
  <c r="L85"/>
  <c r="L33"/>
  <c r="L79"/>
  <c r="H79"/>
  <c r="H76"/>
  <c r="L70"/>
  <c r="L58"/>
  <c r="L55"/>
  <c r="H33"/>
  <c r="F79"/>
  <c r="H122"/>
  <c r="H39"/>
  <c r="F73"/>
  <c r="F70"/>
  <c r="F45"/>
  <c r="F58"/>
  <c r="F85"/>
  <c r="F55"/>
  <c r="L36"/>
  <c r="H36"/>
  <c r="J45"/>
  <c r="J85"/>
  <c r="J128"/>
  <c r="L61"/>
  <c r="F82"/>
  <c r="F39"/>
  <c r="F48"/>
  <c r="H82"/>
  <c r="F36"/>
  <c r="F88"/>
  <c r="H91"/>
  <c r="Q128"/>
  <c r="N128"/>
  <c r="F137"/>
  <c r="H137"/>
  <c r="L137"/>
  <c r="J137"/>
  <c r="N137"/>
  <c r="L128"/>
  <c r="H48"/>
  <c r="J61"/>
  <c r="J82"/>
  <c r="J39"/>
  <c r="J48"/>
  <c r="J70"/>
  <c r="J58"/>
  <c r="J55"/>
  <c r="H85"/>
  <c r="P136"/>
  <c r="F122"/>
  <c r="F128"/>
  <c r="L82"/>
  <c r="L39"/>
  <c r="L48"/>
  <c r="F91"/>
  <c r="L91"/>
  <c r="F61"/>
  <c r="J73"/>
  <c r="H88"/>
  <c r="H61"/>
  <c r="H73"/>
  <c r="H70"/>
  <c r="H45"/>
  <c r="H58"/>
  <c r="H55"/>
  <c r="F33"/>
  <c r="J79"/>
  <c r="L76"/>
  <c r="L122"/>
  <c r="F76"/>
  <c r="H129"/>
  <c r="F129"/>
  <c r="L129"/>
  <c r="J129"/>
  <c r="N129"/>
  <c r="L144"/>
  <c r="H144"/>
  <c r="J144"/>
  <c r="F144"/>
  <c r="N144"/>
  <c r="O129"/>
  <c r="P129" s="1"/>
  <c r="O144"/>
  <c r="P144" s="1"/>
  <c r="M91"/>
  <c r="M61"/>
  <c r="M33"/>
  <c r="M67"/>
  <c r="M122"/>
  <c r="M76"/>
  <c r="M79"/>
  <c r="M73"/>
  <c r="M70"/>
  <c r="M45"/>
  <c r="M58"/>
  <c r="M85"/>
  <c r="M55"/>
  <c r="M64"/>
  <c r="M82"/>
  <c r="M48"/>
  <c r="M36"/>
  <c r="M39"/>
  <c r="M88"/>
  <c r="O128"/>
  <c r="D64" i="1"/>
  <c r="E64"/>
  <c r="G64"/>
  <c r="H64"/>
  <c r="I64"/>
  <c r="J64"/>
  <c r="M64"/>
  <c r="E52" i="6" s="1"/>
  <c r="N64" i="1"/>
  <c r="G52" i="6" s="1"/>
  <c r="O64" i="1"/>
  <c r="I52" i="6" s="1"/>
  <c r="P64" i="1"/>
  <c r="K52" i="6" s="1"/>
  <c r="Q65" i="1"/>
  <c r="Q64" s="1"/>
  <c r="R65"/>
  <c r="H44" i="9" l="1"/>
  <c r="L22" i="12"/>
  <c r="H51"/>
  <c r="J51"/>
  <c r="H10" i="7"/>
  <c r="O10"/>
  <c r="P9"/>
  <c r="N10"/>
  <c r="H113" i="9"/>
  <c r="P10" i="7"/>
  <c r="L113" i="9"/>
  <c r="D124"/>
  <c r="H124" s="1"/>
  <c r="J113"/>
  <c r="AA30" i="11"/>
  <c r="AB30" s="1"/>
  <c r="Q34" i="4"/>
  <c r="P40"/>
  <c r="N113" i="9"/>
  <c r="L22"/>
  <c r="H8" i="13"/>
  <c r="F8"/>
  <c r="N8"/>
  <c r="L8"/>
  <c r="L10" s="1"/>
  <c r="J8"/>
  <c r="J10" s="1"/>
  <c r="H35" i="12"/>
  <c r="M35"/>
  <c r="N35" s="1"/>
  <c r="M35" i="9"/>
  <c r="N35" s="1"/>
  <c r="C71" i="4"/>
  <c r="G71" s="1"/>
  <c r="C34"/>
  <c r="K34" s="1"/>
  <c r="N10" i="13"/>
  <c r="D45"/>
  <c r="N65" i="4"/>
  <c r="E65"/>
  <c r="K65"/>
  <c r="J65" i="9"/>
  <c r="G65" i="4"/>
  <c r="C66"/>
  <c r="M65"/>
  <c r="I65"/>
  <c r="L70" i="12"/>
  <c r="H65" i="9"/>
  <c r="J70" i="12"/>
  <c r="F70"/>
  <c r="F44" i="9"/>
  <c r="L44"/>
  <c r="F41" i="12"/>
  <c r="F35" i="9"/>
  <c r="L10"/>
  <c r="J73"/>
  <c r="J68"/>
  <c r="H68"/>
  <c r="J10" i="12"/>
  <c r="J57"/>
  <c r="F57"/>
  <c r="H57"/>
  <c r="F10"/>
  <c r="L10"/>
  <c r="L41"/>
  <c r="H35" i="9"/>
  <c r="L35"/>
  <c r="H10" i="12"/>
  <c r="F10" i="9"/>
  <c r="H10"/>
  <c r="J10"/>
  <c r="H47"/>
  <c r="L47"/>
  <c r="J59"/>
  <c r="F65"/>
  <c r="F13" i="12"/>
  <c r="J35" i="9"/>
  <c r="L35" i="12"/>
  <c r="J44" i="9"/>
  <c r="L75" i="12"/>
  <c r="L76"/>
  <c r="J75"/>
  <c r="M10" i="9"/>
  <c r="N10" s="1"/>
  <c r="M10" i="12"/>
  <c r="N10" s="1"/>
  <c r="Q61" i="6"/>
  <c r="M68" i="9"/>
  <c r="N68" s="1"/>
  <c r="M70" i="12"/>
  <c r="N70" s="1"/>
  <c r="F68" i="9"/>
  <c r="L68"/>
  <c r="H70" i="12"/>
  <c r="F48"/>
  <c r="J47" i="9"/>
  <c r="H48" i="12"/>
  <c r="N79" i="6"/>
  <c r="M48" i="12"/>
  <c r="N48" s="1"/>
  <c r="M47" i="9"/>
  <c r="N47" s="1"/>
  <c r="F47"/>
  <c r="J48" i="12"/>
  <c r="L48"/>
  <c r="H25" i="9"/>
  <c r="F25" i="12"/>
  <c r="H25"/>
  <c r="J25"/>
  <c r="L25"/>
  <c r="Q33" i="6"/>
  <c r="M25" i="12"/>
  <c r="N25" s="1"/>
  <c r="M25" i="9"/>
  <c r="N25" s="1"/>
  <c r="J25"/>
  <c r="F25"/>
  <c r="L25"/>
  <c r="H59"/>
  <c r="J64" i="12"/>
  <c r="H64"/>
  <c r="F59" i="9"/>
  <c r="L64" i="12"/>
  <c r="M64"/>
  <c r="N64" s="1"/>
  <c r="M59" i="9"/>
  <c r="N59" s="1"/>
  <c r="F64" i="12"/>
  <c r="L59" i="9"/>
  <c r="P133" i="6"/>
  <c r="O56" i="9"/>
  <c r="P56" s="1"/>
  <c r="O61" i="12"/>
  <c r="P61" s="1"/>
  <c r="J56" i="9"/>
  <c r="F56"/>
  <c r="L56"/>
  <c r="H56"/>
  <c r="N56"/>
  <c r="H61" i="12"/>
  <c r="F61"/>
  <c r="J61"/>
  <c r="L61"/>
  <c r="N61"/>
  <c r="M65" i="9"/>
  <c r="N65" s="1"/>
  <c r="M57" i="12"/>
  <c r="N57" s="1"/>
  <c r="L65" i="9"/>
  <c r="L57" i="12"/>
  <c r="L44"/>
  <c r="F44"/>
  <c r="M53" i="9"/>
  <c r="N53" s="1"/>
  <c r="H53"/>
  <c r="F53"/>
  <c r="L53"/>
  <c r="J53"/>
  <c r="M38" i="12"/>
  <c r="M38" i="9"/>
  <c r="F22"/>
  <c r="N64" i="6"/>
  <c r="F35" i="12"/>
  <c r="J35"/>
  <c r="M44" i="9"/>
  <c r="N44" s="1"/>
  <c r="M41" i="12"/>
  <c r="N41" s="1"/>
  <c r="J41"/>
  <c r="M19" i="9"/>
  <c r="N19" s="1"/>
  <c r="M19" i="12"/>
  <c r="N19" s="1"/>
  <c r="H19"/>
  <c r="F19"/>
  <c r="L19" i="9"/>
  <c r="J19" i="12"/>
  <c r="L19"/>
  <c r="J19" i="9"/>
  <c r="M13" i="12"/>
  <c r="N13" s="1"/>
  <c r="M13" i="9"/>
  <c r="N13" s="1"/>
  <c r="H13" i="12"/>
  <c r="J13" i="9"/>
  <c r="L13"/>
  <c r="H13"/>
  <c r="J13" i="12"/>
  <c r="L13"/>
  <c r="F13" i="9"/>
  <c r="G51" i="6"/>
  <c r="G28" i="9" s="1"/>
  <c r="G29"/>
  <c r="G29" i="12"/>
  <c r="K51" i="6"/>
  <c r="K28" i="9" s="1"/>
  <c r="K29" i="12"/>
  <c r="K29" i="9"/>
  <c r="E51" i="6"/>
  <c r="E28" i="9" s="1"/>
  <c r="E29" i="12"/>
  <c r="E29" i="9"/>
  <c r="I51" i="6"/>
  <c r="I28" i="9" s="1"/>
  <c r="I29"/>
  <c r="I29" i="12"/>
  <c r="F50" i="9"/>
  <c r="L50"/>
  <c r="L73"/>
  <c r="J32"/>
  <c r="H74"/>
  <c r="J22"/>
  <c r="L51" i="12"/>
  <c r="J76"/>
  <c r="H75"/>
  <c r="J32"/>
  <c r="N76"/>
  <c r="F76"/>
  <c r="F51"/>
  <c r="H22"/>
  <c r="H22" i="9"/>
  <c r="F22" i="12"/>
  <c r="M22"/>
  <c r="N22" s="1"/>
  <c r="M22" i="9"/>
  <c r="N22" s="1"/>
  <c r="J22" i="12"/>
  <c r="M67"/>
  <c r="N67" s="1"/>
  <c r="M62" i="9"/>
  <c r="N62" s="1"/>
  <c r="M50"/>
  <c r="N50" s="1"/>
  <c r="M51" i="12"/>
  <c r="N51" s="1"/>
  <c r="H50" i="9"/>
  <c r="M44" i="12"/>
  <c r="N44" s="1"/>
  <c r="M41" i="9"/>
  <c r="N41" s="1"/>
  <c r="P8" i="13"/>
  <c r="O10"/>
  <c r="O45" s="1"/>
  <c r="J44" i="12"/>
  <c r="H44"/>
  <c r="J41" i="9"/>
  <c r="H10" i="13"/>
  <c r="F10"/>
  <c r="F45" s="1"/>
  <c r="L41" i="9"/>
  <c r="F41"/>
  <c r="H41"/>
  <c r="M32"/>
  <c r="N32" s="1"/>
  <c r="M32" i="12"/>
  <c r="N32" s="1"/>
  <c r="L32" i="9"/>
  <c r="F32" i="12"/>
  <c r="H32" i="9"/>
  <c r="L32" i="12"/>
  <c r="F32" i="9"/>
  <c r="J74" i="12"/>
  <c r="L72" i="9"/>
  <c r="L74" i="12"/>
  <c r="N74" i="9"/>
  <c r="J74"/>
  <c r="L74"/>
  <c r="H72"/>
  <c r="P128" i="6"/>
  <c r="O74" i="9"/>
  <c r="P74" s="1"/>
  <c r="O76" i="12"/>
  <c r="P76" s="1"/>
  <c r="F74"/>
  <c r="J72" i="9"/>
  <c r="O122" i="6"/>
  <c r="M75" i="12"/>
  <c r="N75" s="1"/>
  <c r="M73" i="9"/>
  <c r="N73" s="1"/>
  <c r="M74" i="12"/>
  <c r="M72" i="9"/>
  <c r="R128" i="6"/>
  <c r="Q76" i="12"/>
  <c r="R76" s="1"/>
  <c r="Q74" i="9"/>
  <c r="R74" s="1"/>
  <c r="F72"/>
  <c r="H73"/>
  <c r="H74" i="12"/>
  <c r="L62" i="9"/>
  <c r="H62"/>
  <c r="F62"/>
  <c r="J62"/>
  <c r="J67" i="12"/>
  <c r="F67"/>
  <c r="L67"/>
  <c r="H67"/>
  <c r="O56" i="4"/>
  <c r="N20"/>
  <c r="X16" i="11" s="1"/>
  <c r="Y16" s="1"/>
  <c r="F16"/>
  <c r="G16" s="1"/>
  <c r="C22" i="4"/>
  <c r="G20"/>
  <c r="K20"/>
  <c r="I20"/>
  <c r="E20"/>
  <c r="M20"/>
  <c r="X25" i="11"/>
  <c r="Y25" s="1"/>
  <c r="O60" i="4"/>
  <c r="F25" i="11"/>
  <c r="G25" s="1"/>
  <c r="C31" i="4"/>
  <c r="I29"/>
  <c r="G29"/>
  <c r="K29"/>
  <c r="E29"/>
  <c r="M29"/>
  <c r="C8" i="11"/>
  <c r="D8" s="1"/>
  <c r="B13" i="4"/>
  <c r="C9" i="11" s="1"/>
  <c r="D9" s="1"/>
  <c r="O79" i="6"/>
  <c r="Q79"/>
  <c r="O82"/>
  <c r="N82"/>
  <c r="O85"/>
  <c r="N85"/>
  <c r="O73"/>
  <c r="N73"/>
  <c r="Q122"/>
  <c r="N122"/>
  <c r="O91"/>
  <c r="N91"/>
  <c r="O88"/>
  <c r="N88"/>
  <c r="O36"/>
  <c r="N36"/>
  <c r="O58"/>
  <c r="N58"/>
  <c r="O45"/>
  <c r="N45"/>
  <c r="Q91"/>
  <c r="O33"/>
  <c r="N33"/>
  <c r="O39"/>
  <c r="N39"/>
  <c r="O48"/>
  <c r="N48"/>
  <c r="O55"/>
  <c r="N55"/>
  <c r="Q70"/>
  <c r="N70"/>
  <c r="O76"/>
  <c r="N76"/>
  <c r="O61"/>
  <c r="N61"/>
  <c r="Q48"/>
  <c r="Q45"/>
  <c r="M52"/>
  <c r="Q39"/>
  <c r="Q76"/>
  <c r="Q36"/>
  <c r="O64"/>
  <c r="Q64"/>
  <c r="Q55"/>
  <c r="Q73"/>
  <c r="Q82"/>
  <c r="Q88"/>
  <c r="Q58"/>
  <c r="Q85"/>
  <c r="O70"/>
  <c r="R64" i="1"/>
  <c r="F64"/>
  <c r="L65"/>
  <c r="K64"/>
  <c r="C52" i="6" s="1"/>
  <c r="M71" i="4" l="1"/>
  <c r="N124" i="9"/>
  <c r="J124"/>
  <c r="E71" i="4"/>
  <c r="F124" i="9"/>
  <c r="L124"/>
  <c r="I71" i="4"/>
  <c r="AA36" i="11"/>
  <c r="AB36" s="1"/>
  <c r="Q40" i="4"/>
  <c r="K71"/>
  <c r="Q35" i="12"/>
  <c r="R35" s="1"/>
  <c r="Q35" i="9"/>
  <c r="R35" s="1"/>
  <c r="O35"/>
  <c r="P35" s="1"/>
  <c r="O35" i="12"/>
  <c r="P35" s="1"/>
  <c r="N71" i="4"/>
  <c r="O71" s="1"/>
  <c r="N34"/>
  <c r="K28" i="12"/>
  <c r="O65" i="4"/>
  <c r="I34"/>
  <c r="C35"/>
  <c r="G34"/>
  <c r="C40"/>
  <c r="E40" s="1"/>
  <c r="E34"/>
  <c r="F30" i="11"/>
  <c r="G30" s="1"/>
  <c r="M34" i="4"/>
  <c r="G28" i="12"/>
  <c r="P36" i="6"/>
  <c r="O10" i="12"/>
  <c r="P10" s="1"/>
  <c r="O10" i="9"/>
  <c r="P10" s="1"/>
  <c r="R36" i="6"/>
  <c r="Q10" i="9"/>
  <c r="R10" s="1"/>
  <c r="Q10" i="12"/>
  <c r="R10" s="1"/>
  <c r="P61" i="6"/>
  <c r="O68" i="9"/>
  <c r="P68" s="1"/>
  <c r="O70" i="12"/>
  <c r="P70" s="1"/>
  <c r="R61" i="6"/>
  <c r="Q70" i="12"/>
  <c r="R70" s="1"/>
  <c r="Q68" i="9"/>
  <c r="R68" s="1"/>
  <c r="P79" i="6"/>
  <c r="O47" i="9"/>
  <c r="P47" s="1"/>
  <c r="O48" i="12"/>
  <c r="P48" s="1"/>
  <c r="R79" i="6"/>
  <c r="Q47" i="9"/>
  <c r="R47" s="1"/>
  <c r="Q48" i="12"/>
  <c r="R48" s="1"/>
  <c r="P33" i="6"/>
  <c r="O25" i="12"/>
  <c r="P25" s="1"/>
  <c r="O25" i="9"/>
  <c r="P25" s="1"/>
  <c r="R33" i="6"/>
  <c r="Q25" i="12"/>
  <c r="R25" s="1"/>
  <c r="Q25" i="9"/>
  <c r="R25" s="1"/>
  <c r="I28" i="12"/>
  <c r="R85" i="6"/>
  <c r="Q64" i="12"/>
  <c r="R64" s="1"/>
  <c r="Q59" i="9"/>
  <c r="R59" s="1"/>
  <c r="P85" i="6"/>
  <c r="O64" i="12"/>
  <c r="P64" s="1"/>
  <c r="O59" i="9"/>
  <c r="P59" s="1"/>
  <c r="P58" i="6"/>
  <c r="O57" i="12"/>
  <c r="P57" s="1"/>
  <c r="O65" i="9"/>
  <c r="P65" s="1"/>
  <c r="R58" i="6"/>
  <c r="Q57" i="12"/>
  <c r="R57" s="1"/>
  <c r="Q65" i="9"/>
  <c r="R65" s="1"/>
  <c r="P73" i="6"/>
  <c r="O53" i="9"/>
  <c r="P53" s="1"/>
  <c r="R73" i="6"/>
  <c r="Q53" i="9"/>
  <c r="R53" s="1"/>
  <c r="R64" i="6"/>
  <c r="P64"/>
  <c r="R76"/>
  <c r="Q41" i="12"/>
  <c r="R41" s="1"/>
  <c r="Q44" i="9"/>
  <c r="R44" s="1"/>
  <c r="P76" i="6"/>
  <c r="O41" i="12"/>
  <c r="P41" s="1"/>
  <c r="O44" i="9"/>
  <c r="P44" s="1"/>
  <c r="R45" i="6"/>
  <c r="Q19" i="9"/>
  <c r="R19" s="1"/>
  <c r="Q19" i="12"/>
  <c r="R19" s="1"/>
  <c r="P45" i="6"/>
  <c r="O19" i="12"/>
  <c r="P19" s="1"/>
  <c r="O19" i="9"/>
  <c r="P19" s="1"/>
  <c r="P39" i="6"/>
  <c r="O13" i="9"/>
  <c r="P13" s="1"/>
  <c r="O13" i="12"/>
  <c r="P13" s="1"/>
  <c r="R39" i="6"/>
  <c r="Q13" i="9"/>
  <c r="R13" s="1"/>
  <c r="Q13" i="12"/>
  <c r="R13" s="1"/>
  <c r="E28"/>
  <c r="C29" i="9"/>
  <c r="C29" i="12"/>
  <c r="M51" i="6"/>
  <c r="M28" i="9" s="1"/>
  <c r="M29" i="12"/>
  <c r="M29" i="9"/>
  <c r="P48" i="6"/>
  <c r="O22" i="9"/>
  <c r="P22" s="1"/>
  <c r="O22" i="12"/>
  <c r="P22" s="1"/>
  <c r="R48" i="6"/>
  <c r="Q22" i="12"/>
  <c r="R22" s="1"/>
  <c r="Q22" i="9"/>
  <c r="R22" s="1"/>
  <c r="R88" i="6"/>
  <c r="Q62" i="9"/>
  <c r="R62" s="1"/>
  <c r="Q67" i="12"/>
  <c r="R67" s="1"/>
  <c r="P82" i="6"/>
  <c r="O51" i="12"/>
  <c r="P51" s="1"/>
  <c r="O50" i="9"/>
  <c r="P50" s="1"/>
  <c r="R82" i="6"/>
  <c r="Q51" i="12"/>
  <c r="R51" s="1"/>
  <c r="Q50" i="9"/>
  <c r="R50" s="1"/>
  <c r="L45" i="13"/>
  <c r="J45"/>
  <c r="H45"/>
  <c r="N45"/>
  <c r="P10"/>
  <c r="P45"/>
  <c r="P70" i="6"/>
  <c r="O44" i="12"/>
  <c r="P44" s="1"/>
  <c r="O41" i="9"/>
  <c r="P41" s="1"/>
  <c r="R70" i="6"/>
  <c r="Q44" i="12"/>
  <c r="R44" s="1"/>
  <c r="Q41" i="9"/>
  <c r="R41" s="1"/>
  <c r="R55" i="6"/>
  <c r="Q32" i="9"/>
  <c r="R32" s="1"/>
  <c r="Q32" i="12"/>
  <c r="R32" s="1"/>
  <c r="P55" i="6"/>
  <c r="O32" i="9"/>
  <c r="P32" s="1"/>
  <c r="O32" i="12"/>
  <c r="P32" s="1"/>
  <c r="P91" i="6"/>
  <c r="O74" i="12"/>
  <c r="P74" s="1"/>
  <c r="O72" i="9"/>
  <c r="P72" s="1"/>
  <c r="N72"/>
  <c r="P122" i="6"/>
  <c r="O73" i="9"/>
  <c r="P73" s="1"/>
  <c r="O75" i="12"/>
  <c r="P75" s="1"/>
  <c r="N74"/>
  <c r="R91" i="6"/>
  <c r="Q72" i="9"/>
  <c r="Q74" i="12"/>
  <c r="R122" i="6"/>
  <c r="Q75" i="12"/>
  <c r="R75" s="1"/>
  <c r="Q73" i="9"/>
  <c r="R73" s="1"/>
  <c r="P88" i="6"/>
  <c r="O67" i="12"/>
  <c r="O62" i="9"/>
  <c r="C51" i="6"/>
  <c r="O20" i="4"/>
  <c r="F18" i="11"/>
  <c r="G18" s="1"/>
  <c r="F27"/>
  <c r="G27" s="1"/>
  <c r="O29" i="4"/>
  <c r="L64" i="1"/>
  <c r="D52" i="6" s="1"/>
  <c r="D53"/>
  <c r="Q52"/>
  <c r="C64" i="1"/>
  <c r="N40" i="4" l="1"/>
  <c r="X36" i="11" s="1"/>
  <c r="Y36" s="1"/>
  <c r="X30"/>
  <c r="Y30" s="1"/>
  <c r="O34" i="4"/>
  <c r="F31" i="11"/>
  <c r="G31" s="1"/>
  <c r="K40" i="4"/>
  <c r="I40"/>
  <c r="G40"/>
  <c r="F36" i="11"/>
  <c r="G36" s="1"/>
  <c r="M40" i="4"/>
  <c r="D51" i="6"/>
  <c r="D28" i="9" s="1"/>
  <c r="D29" i="12"/>
  <c r="D29" i="9"/>
  <c r="N29" s="1"/>
  <c r="M28" i="12"/>
  <c r="R52" i="6"/>
  <c r="Q29" i="9"/>
  <c r="R29" s="1"/>
  <c r="Q29" i="12"/>
  <c r="R29" s="1"/>
  <c r="D30"/>
  <c r="D30" i="9"/>
  <c r="C28" i="12"/>
  <c r="C28" i="9"/>
  <c r="R72"/>
  <c r="R74" i="12"/>
  <c r="P62" i="9"/>
  <c r="P67" i="12"/>
  <c r="Q51" i="6"/>
  <c r="J53"/>
  <c r="F53"/>
  <c r="H53"/>
  <c r="L53"/>
  <c r="N53"/>
  <c r="J52"/>
  <c r="H52"/>
  <c r="F52"/>
  <c r="L52"/>
  <c r="N52"/>
  <c r="O52"/>
  <c r="O53"/>
  <c r="R47" i="1"/>
  <c r="O40" i="4" l="1"/>
  <c r="N51" i="6"/>
  <c r="D28" i="12"/>
  <c r="L51" i="6"/>
  <c r="O51"/>
  <c r="O28" i="12" s="1"/>
  <c r="J51" i="6"/>
  <c r="F51"/>
  <c r="H51"/>
  <c r="L29" i="9"/>
  <c r="J29"/>
  <c r="F29"/>
  <c r="H29"/>
  <c r="P52" i="6"/>
  <c r="O29" i="9"/>
  <c r="P29" s="1"/>
  <c r="O29" i="12"/>
  <c r="P29" s="1"/>
  <c r="H30" i="9"/>
  <c r="J30"/>
  <c r="L30"/>
  <c r="F30"/>
  <c r="N30"/>
  <c r="J29" i="12"/>
  <c r="L29"/>
  <c r="F29"/>
  <c r="H29"/>
  <c r="H30"/>
  <c r="F30"/>
  <c r="J30"/>
  <c r="L30"/>
  <c r="N30"/>
  <c r="N29"/>
  <c r="P53" i="6"/>
  <c r="O30" i="12"/>
  <c r="P30" s="1"/>
  <c r="O30" i="9"/>
  <c r="P30" s="1"/>
  <c r="H28"/>
  <c r="F28"/>
  <c r="L28"/>
  <c r="J28"/>
  <c r="R51" i="6"/>
  <c r="Q28" i="9"/>
  <c r="Q28" i="12"/>
  <c r="N28" i="9"/>
  <c r="R46" i="1"/>
  <c r="K46"/>
  <c r="C67" i="6" s="1"/>
  <c r="H28" i="12" l="1"/>
  <c r="J28"/>
  <c r="N28"/>
  <c r="L28"/>
  <c r="F28"/>
  <c r="P28"/>
  <c r="P51" i="6"/>
  <c r="O28" i="9"/>
  <c r="C38" i="12"/>
  <c r="C38" i="9"/>
  <c r="R28" i="12"/>
  <c r="R28" i="9"/>
  <c r="Q67" i="6"/>
  <c r="C46" i="1"/>
  <c r="P28" i="9" l="1"/>
  <c r="R67" i="6"/>
  <c r="Q38" i="12"/>
  <c r="Q38" i="9"/>
  <c r="F46" i="1"/>
  <c r="R38" i="12" l="1"/>
  <c r="R38" i="9"/>
  <c r="L47" i="1"/>
  <c r="Q47"/>
  <c r="Q46" s="1"/>
  <c r="L46" l="1"/>
  <c r="D67" i="6" s="1"/>
  <c r="D68"/>
  <c r="O31" i="1"/>
  <c r="I42" i="6" s="1"/>
  <c r="P31" i="1"/>
  <c r="K42" i="6" s="1"/>
  <c r="D31" i="1"/>
  <c r="E31"/>
  <c r="I31"/>
  <c r="I27" s="1"/>
  <c r="L33"/>
  <c r="D44" i="6" s="1"/>
  <c r="Q33" i="1"/>
  <c r="R33"/>
  <c r="B78" i="4" l="1"/>
  <c r="C78"/>
  <c r="D39" i="9"/>
  <c r="D39" i="12"/>
  <c r="D38"/>
  <c r="D38" i="9"/>
  <c r="K131" i="6"/>
  <c r="J51" i="4" s="1"/>
  <c r="K16" i="12"/>
  <c r="K80" s="1"/>
  <c r="K16" i="9"/>
  <c r="K77" s="1"/>
  <c r="D18" i="12"/>
  <c r="D18" i="9"/>
  <c r="I131" i="6"/>
  <c r="H51" i="4" s="1"/>
  <c r="I16" i="12"/>
  <c r="I80" s="1"/>
  <c r="I16" i="9"/>
  <c r="I77" s="1"/>
  <c r="L44" i="6"/>
  <c r="J44"/>
  <c r="F44"/>
  <c r="H44"/>
  <c r="N44"/>
  <c r="H68"/>
  <c r="F68"/>
  <c r="J68"/>
  <c r="L68"/>
  <c r="N68"/>
  <c r="H67"/>
  <c r="L67"/>
  <c r="J67"/>
  <c r="F67"/>
  <c r="N67"/>
  <c r="O44"/>
  <c r="O68"/>
  <c r="O67"/>
  <c r="J31" i="1"/>
  <c r="J27" s="1"/>
  <c r="N31"/>
  <c r="G42" i="6" s="1"/>
  <c r="M31" i="1"/>
  <c r="E42" i="6" s="1"/>
  <c r="H31" i="1"/>
  <c r="H27" s="1"/>
  <c r="G31"/>
  <c r="G27" s="1"/>
  <c r="K31"/>
  <c r="R32"/>
  <c r="K78" i="4" l="1"/>
  <c r="N78"/>
  <c r="M78"/>
  <c r="P78"/>
  <c r="H15"/>
  <c r="O11" i="11" s="1"/>
  <c r="P11" s="1"/>
  <c r="J15" i="4"/>
  <c r="R11" i="11" s="1"/>
  <c r="S11" s="1"/>
  <c r="L39" i="9"/>
  <c r="J39"/>
  <c r="H39"/>
  <c r="F39"/>
  <c r="N39"/>
  <c r="H38"/>
  <c r="J38"/>
  <c r="F38"/>
  <c r="L38"/>
  <c r="N38"/>
  <c r="H38" i="12"/>
  <c r="J38"/>
  <c r="L38"/>
  <c r="F38"/>
  <c r="N38"/>
  <c r="P67" i="6"/>
  <c r="O38" i="12"/>
  <c r="O38" i="9"/>
  <c r="L39" i="12"/>
  <c r="J39"/>
  <c r="H39"/>
  <c r="F39"/>
  <c r="N39"/>
  <c r="H18" i="9"/>
  <c r="F18"/>
  <c r="L18"/>
  <c r="J18"/>
  <c r="N18"/>
  <c r="G131" i="6"/>
  <c r="F51" i="4" s="1"/>
  <c r="G16" i="12"/>
  <c r="G80" s="1"/>
  <c r="G16" i="9"/>
  <c r="G77" s="1"/>
  <c r="J18" i="12"/>
  <c r="L18"/>
  <c r="F18"/>
  <c r="H18"/>
  <c r="N18"/>
  <c r="E131" i="6"/>
  <c r="D51" i="4" s="1"/>
  <c r="E16" i="9"/>
  <c r="E77" s="1"/>
  <c r="E16" i="12"/>
  <c r="E80" s="1"/>
  <c r="P44" i="6"/>
  <c r="O18" i="9"/>
  <c r="P18" s="1"/>
  <c r="O18" i="12"/>
  <c r="P18" s="1"/>
  <c r="P68" i="6"/>
  <c r="O39" i="12"/>
  <c r="P39" s="1"/>
  <c r="O39" i="9"/>
  <c r="P39" s="1"/>
  <c r="K27" i="1"/>
  <c r="C42" i="6"/>
  <c r="C16" i="12" s="1"/>
  <c r="C80" s="1"/>
  <c r="M42" i="6"/>
  <c r="R31" i="1"/>
  <c r="F31"/>
  <c r="C31"/>
  <c r="O78" i="4" l="1"/>
  <c r="O83"/>
  <c r="Q83"/>
  <c r="Q78"/>
  <c r="K83"/>
  <c r="I83"/>
  <c r="M83"/>
  <c r="P38" i="12"/>
  <c r="P38" i="9"/>
  <c r="J24" i="4"/>
  <c r="R20" i="11" s="1"/>
  <c r="S20" s="1"/>
  <c r="L51" i="4"/>
  <c r="L15" s="1"/>
  <c r="U11" i="11" s="1"/>
  <c r="V11" s="1"/>
  <c r="D15" i="4"/>
  <c r="I11" i="11" s="1"/>
  <c r="J11" s="1"/>
  <c r="F15" i="4"/>
  <c r="L11" i="11" s="1"/>
  <c r="M11" s="1"/>
  <c r="H24" i="4"/>
  <c r="O20" i="11" s="1"/>
  <c r="P20" s="1"/>
  <c r="M131" i="6"/>
  <c r="M16" i="9"/>
  <c r="M77" s="1"/>
  <c r="M16" i="12"/>
  <c r="M80" s="1"/>
  <c r="C131" i="6"/>
  <c r="C16" i="9"/>
  <c r="C77" s="1"/>
  <c r="Q42" i="6"/>
  <c r="L32" i="1"/>
  <c r="Q32"/>
  <c r="Q31" s="1"/>
  <c r="L20"/>
  <c r="D25" i="6" s="1"/>
  <c r="Q20" i="1"/>
  <c r="R20"/>
  <c r="L21"/>
  <c r="D26" i="6" s="1"/>
  <c r="Q21" i="1"/>
  <c r="R21"/>
  <c r="L22"/>
  <c r="D27" i="6" s="1"/>
  <c r="Q22" i="1"/>
  <c r="R22"/>
  <c r="L23"/>
  <c r="D28" i="6" s="1"/>
  <c r="Q23" i="1"/>
  <c r="R23"/>
  <c r="L24"/>
  <c r="D29" i="6" s="1"/>
  <c r="Q24" i="1"/>
  <c r="R24"/>
  <c r="L25"/>
  <c r="D30" i="6" s="1"/>
  <c r="Q25" i="1"/>
  <c r="R25"/>
  <c r="G3"/>
  <c r="H3"/>
  <c r="I3"/>
  <c r="F24" i="4" l="1"/>
  <c r="L20" i="11" s="1"/>
  <c r="M20" s="1"/>
  <c r="D24" i="4"/>
  <c r="I20" i="11" s="1"/>
  <c r="J20" s="1"/>
  <c r="C145" i="6"/>
  <c r="Q16" i="12"/>
  <c r="Q80" s="1"/>
  <c r="Q16" i="9"/>
  <c r="Q77" s="1"/>
  <c r="B51" i="4"/>
  <c r="D73" i="12"/>
  <c r="D71" i="9"/>
  <c r="L24" i="4"/>
  <c r="U20" i="11" s="1"/>
  <c r="V20" s="1"/>
  <c r="H27" i="6"/>
  <c r="J27"/>
  <c r="F27"/>
  <c r="L27"/>
  <c r="N27"/>
  <c r="J30"/>
  <c r="F30"/>
  <c r="H30"/>
  <c r="L30"/>
  <c r="N30"/>
  <c r="H26"/>
  <c r="F26"/>
  <c r="L26"/>
  <c r="J26"/>
  <c r="N26"/>
  <c r="J28"/>
  <c r="H28"/>
  <c r="F28"/>
  <c r="L28"/>
  <c r="N28"/>
  <c r="J29"/>
  <c r="L29"/>
  <c r="F29"/>
  <c r="H29"/>
  <c r="N29"/>
  <c r="L25"/>
  <c r="F25"/>
  <c r="H25"/>
  <c r="J25"/>
  <c r="N25"/>
  <c r="Q131"/>
  <c r="R131" s="1"/>
  <c r="R42"/>
  <c r="O29"/>
  <c r="P29" s="1"/>
  <c r="O26"/>
  <c r="P26" s="1"/>
  <c r="O28"/>
  <c r="P28" s="1"/>
  <c r="O30"/>
  <c r="P30" s="1"/>
  <c r="O27"/>
  <c r="P27" s="1"/>
  <c r="O25"/>
  <c r="D31"/>
  <c r="C48" i="4" s="1"/>
  <c r="L31" i="1"/>
  <c r="D43" i="6"/>
  <c r="L4" i="1"/>
  <c r="K4"/>
  <c r="K3" s="1"/>
  <c r="J4"/>
  <c r="J3" s="1"/>
  <c r="P51" i="4" l="1"/>
  <c r="B15"/>
  <c r="B38" s="1"/>
  <c r="R16" i="9"/>
  <c r="B69" i="4"/>
  <c r="B72" s="1"/>
  <c r="R77" i="9"/>
  <c r="D17" i="12"/>
  <c r="D17" i="9"/>
  <c r="R16" i="12"/>
  <c r="R80"/>
  <c r="B54" i="4"/>
  <c r="P25" i="6"/>
  <c r="O73" i="12"/>
  <c r="O71" i="9"/>
  <c r="L71"/>
  <c r="H71"/>
  <c r="F71"/>
  <c r="J71"/>
  <c r="N71"/>
  <c r="J73" i="12"/>
  <c r="L73"/>
  <c r="F73"/>
  <c r="H73"/>
  <c r="N73"/>
  <c r="C49" i="4"/>
  <c r="C12"/>
  <c r="H43" i="6"/>
  <c r="J43"/>
  <c r="L43"/>
  <c r="F43"/>
  <c r="N43"/>
  <c r="O43"/>
  <c r="L27" i="1"/>
  <c r="L3" s="1"/>
  <c r="D42" i="6"/>
  <c r="P15" i="4" l="1"/>
  <c r="Q51"/>
  <c r="D131" i="6"/>
  <c r="C51" i="4" s="1"/>
  <c r="D16" i="12"/>
  <c r="D80" s="1"/>
  <c r="F80" s="1"/>
  <c r="D16" i="9"/>
  <c r="D77" s="1"/>
  <c r="L17"/>
  <c r="H17"/>
  <c r="J17"/>
  <c r="F17"/>
  <c r="N17"/>
  <c r="H17" i="12"/>
  <c r="J17"/>
  <c r="L17"/>
  <c r="F17"/>
  <c r="N17"/>
  <c r="B24" i="4"/>
  <c r="C20" i="11" s="1"/>
  <c r="D20" s="1"/>
  <c r="P43" i="6"/>
  <c r="O17" i="9"/>
  <c r="P17" s="1"/>
  <c r="O17" i="12"/>
  <c r="P17" s="1"/>
  <c r="C11" i="11"/>
  <c r="D11" s="1"/>
  <c r="B18" i="4"/>
  <c r="C14" i="11" s="1"/>
  <c r="D14" s="1"/>
  <c r="P71" i="9"/>
  <c r="P73" i="12"/>
  <c r="F8" i="11"/>
  <c r="G8" s="1"/>
  <c r="C13" i="4"/>
  <c r="F9" i="11" s="1"/>
  <c r="G9" s="1"/>
  <c r="C34"/>
  <c r="D34" s="1"/>
  <c r="B41" i="4"/>
  <c r="C37" i="11" s="1"/>
  <c r="D37" s="1"/>
  <c r="J42" i="6"/>
  <c r="L42"/>
  <c r="F42"/>
  <c r="H42"/>
  <c r="N42"/>
  <c r="O42"/>
  <c r="P24" i="4" l="1"/>
  <c r="Q24" s="1"/>
  <c r="AA11" i="11"/>
  <c r="AB11" s="1"/>
  <c r="Q15" i="4"/>
  <c r="K51"/>
  <c r="C15"/>
  <c r="C38" s="1"/>
  <c r="F131" i="6"/>
  <c r="J131"/>
  <c r="G51" i="4"/>
  <c r="E51"/>
  <c r="B27"/>
  <c r="C23" i="11" s="1"/>
  <c r="D23" s="1"/>
  <c r="C69" i="4"/>
  <c r="C72" s="1"/>
  <c r="O16" i="9"/>
  <c r="O77" s="1"/>
  <c r="O16" i="12"/>
  <c r="O80" s="1"/>
  <c r="L131" i="6"/>
  <c r="N51" i="4"/>
  <c r="I51"/>
  <c r="C54"/>
  <c r="J16" i="9"/>
  <c r="L16"/>
  <c r="H16"/>
  <c r="F16"/>
  <c r="N16"/>
  <c r="H131" i="6"/>
  <c r="M51" i="4"/>
  <c r="L16" i="12"/>
  <c r="J16"/>
  <c r="H16"/>
  <c r="F16"/>
  <c r="N16"/>
  <c r="N131" i="6"/>
  <c r="O131"/>
  <c r="P131" s="1"/>
  <c r="P42"/>
  <c r="D145"/>
  <c r="P139" i="1"/>
  <c r="O139"/>
  <c r="M139"/>
  <c r="F139"/>
  <c r="E139"/>
  <c r="B139"/>
  <c r="Q139"/>
  <c r="C139"/>
  <c r="AA20" i="11" l="1"/>
  <c r="AB20" s="1"/>
  <c r="F11"/>
  <c r="G11" s="1"/>
  <c r="N15" i="4"/>
  <c r="G15"/>
  <c r="M15"/>
  <c r="C18"/>
  <c r="E15"/>
  <c r="O51"/>
  <c r="I15"/>
  <c r="C24"/>
  <c r="F20" i="11" s="1"/>
  <c r="G20" s="1"/>
  <c r="K15" i="4"/>
  <c r="F77" i="9"/>
  <c r="L77"/>
  <c r="H77"/>
  <c r="J77"/>
  <c r="N77"/>
  <c r="L80" i="12"/>
  <c r="H80"/>
  <c r="J80"/>
  <c r="N80"/>
  <c r="P16"/>
  <c r="P80"/>
  <c r="P16" i="9"/>
  <c r="P77"/>
  <c r="F34" i="11"/>
  <c r="G34" s="1"/>
  <c r="C41" i="4"/>
  <c r="F37" i="11" s="1"/>
  <c r="G37" s="1"/>
  <c r="D139" i="1"/>
  <c r="N139"/>
  <c r="R139"/>
  <c r="B84"/>
  <c r="O15" i="4" l="1"/>
  <c r="X11" i="11"/>
  <c r="Y11" s="1"/>
  <c r="F14"/>
  <c r="G14" s="1"/>
  <c r="E24" i="4"/>
  <c r="I24"/>
  <c r="K24"/>
  <c r="M24"/>
  <c r="C27"/>
  <c r="G24"/>
  <c r="N24"/>
  <c r="B70" i="1"/>
  <c r="B52"/>
  <c r="B82"/>
  <c r="B55"/>
  <c r="B61"/>
  <c r="B67"/>
  <c r="B73"/>
  <c r="B64"/>
  <c r="B132"/>
  <c r="B76"/>
  <c r="B58"/>
  <c r="O24" i="4" l="1"/>
  <c r="X20" i="11"/>
  <c r="Y20" s="1"/>
  <c r="F23"/>
  <c r="G23" s="1"/>
  <c r="B122" i="1"/>
  <c r="R122"/>
  <c r="B116" l="1"/>
  <c r="C116"/>
  <c r="D116"/>
  <c r="B85"/>
  <c r="E116"/>
  <c r="F116" l="1"/>
  <c r="B79"/>
  <c r="M5"/>
  <c r="P5"/>
  <c r="E5"/>
  <c r="E4" s="1"/>
  <c r="O5"/>
  <c r="D5"/>
  <c r="D4" s="1"/>
  <c r="N5"/>
  <c r="Q5"/>
  <c r="Q4" s="1"/>
  <c r="R5"/>
  <c r="N4" l="1"/>
  <c r="G11" i="6"/>
  <c r="M4" i="1"/>
  <c r="E11" i="6"/>
  <c r="F11" s="1"/>
  <c r="P4" i="1"/>
  <c r="K11" i="6"/>
  <c r="O4" i="1"/>
  <c r="I11" i="6"/>
  <c r="B5" i="1"/>
  <c r="B4" s="1"/>
  <c r="R4"/>
  <c r="F5"/>
  <c r="F4" s="1"/>
  <c r="C5"/>
  <c r="C4" s="1"/>
  <c r="I31" i="6" l="1"/>
  <c r="H48" i="4" s="1"/>
  <c r="J11" i="6"/>
  <c r="K31"/>
  <c r="J48" i="4" s="1"/>
  <c r="L11" i="6"/>
  <c r="G31"/>
  <c r="F48" i="4" s="1"/>
  <c r="H11" i="6"/>
  <c r="M11"/>
  <c r="N11" s="1"/>
  <c r="E31"/>
  <c r="E27" i="1"/>
  <c r="E3" s="1"/>
  <c r="D27"/>
  <c r="D3" s="1"/>
  <c r="J49" i="4" l="1"/>
  <c r="K49" s="1"/>
  <c r="K48"/>
  <c r="J69"/>
  <c r="J12"/>
  <c r="R8" i="11" s="1"/>
  <c r="S8" s="1"/>
  <c r="F31" i="6"/>
  <c r="D48" i="4"/>
  <c r="F69"/>
  <c r="F12"/>
  <c r="L8" i="11" s="1"/>
  <c r="M8" s="1"/>
  <c r="F49" i="4"/>
  <c r="G49" s="1"/>
  <c r="G48"/>
  <c r="H69"/>
  <c r="H12"/>
  <c r="O8" i="11" s="1"/>
  <c r="P8" s="1"/>
  <c r="I48" i="4"/>
  <c r="H49"/>
  <c r="I49" s="1"/>
  <c r="K145" i="6"/>
  <c r="L145" s="1"/>
  <c r="L31"/>
  <c r="G145"/>
  <c r="H145" s="1"/>
  <c r="H31"/>
  <c r="I145"/>
  <c r="J145" s="1"/>
  <c r="J31"/>
  <c r="E145"/>
  <c r="F145" s="1"/>
  <c r="M31"/>
  <c r="Q11"/>
  <c r="R11" s="1"/>
  <c r="O11"/>
  <c r="P11" s="1"/>
  <c r="R27" i="1"/>
  <c r="O27"/>
  <c r="O3" s="1"/>
  <c r="P27"/>
  <c r="P3" s="1"/>
  <c r="N27"/>
  <c r="N3" s="1"/>
  <c r="M27"/>
  <c r="M3" s="1"/>
  <c r="Q27"/>
  <c r="Q3" s="1"/>
  <c r="B28"/>
  <c r="F27"/>
  <c r="F3" s="1"/>
  <c r="C27"/>
  <c r="C3" s="1"/>
  <c r="H38" i="4" l="1"/>
  <c r="O34" i="11" s="1"/>
  <c r="P34" s="1"/>
  <c r="H13" i="4"/>
  <c r="I12"/>
  <c r="F38"/>
  <c r="L34" i="11" s="1"/>
  <c r="M34" s="1"/>
  <c r="G12" i="4"/>
  <c r="F13"/>
  <c r="J13"/>
  <c r="J38"/>
  <c r="R34" i="11" s="1"/>
  <c r="S34" s="1"/>
  <c r="K12" i="4"/>
  <c r="I69"/>
  <c r="G69"/>
  <c r="K69"/>
  <c r="L48"/>
  <c r="E48"/>
  <c r="D69"/>
  <c r="D12"/>
  <c r="I8" i="11" s="1"/>
  <c r="J8" s="1"/>
  <c r="D49" i="4"/>
  <c r="E49" s="1"/>
  <c r="M145" i="6"/>
  <c r="N145" s="1"/>
  <c r="N31"/>
  <c r="O31"/>
  <c r="Q31"/>
  <c r="B27" i="1"/>
  <c r="B3" s="1"/>
  <c r="R3"/>
  <c r="G13" i="4" l="1"/>
  <c r="L9" i="11"/>
  <c r="M9" s="1"/>
  <c r="I13" i="4"/>
  <c r="O9" i="11"/>
  <c r="P9" s="1"/>
  <c r="K13" i="4"/>
  <c r="R9" i="11"/>
  <c r="S9" s="1"/>
  <c r="L12" i="4"/>
  <c r="U8" i="11" s="1"/>
  <c r="V8" s="1"/>
  <c r="L69" i="4"/>
  <c r="N48"/>
  <c r="P48"/>
  <c r="M48"/>
  <c r="L49"/>
  <c r="M49" s="1"/>
  <c r="G38"/>
  <c r="D38"/>
  <c r="I34" i="11" s="1"/>
  <c r="J34" s="1"/>
  <c r="E12" i="4"/>
  <c r="D13"/>
  <c r="E69"/>
  <c r="K38"/>
  <c r="I38"/>
  <c r="Q145" i="6"/>
  <c r="R145" s="1"/>
  <c r="R31"/>
  <c r="O145"/>
  <c r="P145" s="1"/>
  <c r="P31"/>
  <c r="E13" i="4" l="1"/>
  <c r="I9" i="11"/>
  <c r="J9" s="1"/>
  <c r="P12" i="4"/>
  <c r="AA8" i="11" s="1"/>
  <c r="AB8" s="1"/>
  <c r="Q48" i="4"/>
  <c r="P69"/>
  <c r="P49"/>
  <c r="Q49" s="1"/>
  <c r="O48"/>
  <c r="N49"/>
  <c r="O49" s="1"/>
  <c r="N69"/>
  <c r="N12"/>
  <c r="X8" i="11" s="1"/>
  <c r="Y8" s="1"/>
  <c r="M69" i="4"/>
  <c r="E38"/>
  <c r="L38"/>
  <c r="U34" i="11" s="1"/>
  <c r="V34" s="1"/>
  <c r="L13" i="4"/>
  <c r="M12"/>
  <c r="J122" i="9"/>
  <c r="L122"/>
  <c r="H122"/>
  <c r="O122"/>
  <c r="O124" s="1"/>
  <c r="N122"/>
  <c r="M13" i="4" l="1"/>
  <c r="U9" i="11"/>
  <c r="V9" s="1"/>
  <c r="N13" i="4"/>
  <c r="O12"/>
  <c r="N38"/>
  <c r="X34" i="11" s="1"/>
  <c r="Y34" s="1"/>
  <c r="O69" i="4"/>
  <c r="Q69"/>
  <c r="M38"/>
  <c r="P38"/>
  <c r="AA34" i="11" s="1"/>
  <c r="AB34" s="1"/>
  <c r="Q12" i="4"/>
  <c r="P13"/>
  <c r="P122" i="9"/>
  <c r="P124"/>
  <c r="Q13" i="4" l="1"/>
  <c r="AA9" i="11"/>
  <c r="AB9" s="1"/>
  <c r="O13" i="4"/>
  <c r="X9" i="11"/>
  <c r="Y9" s="1"/>
  <c r="O38" i="4"/>
  <c r="Q38"/>
  <c r="H24" i="8" l="1"/>
  <c r="H25"/>
  <c r="D12" l="1"/>
  <c r="D72"/>
  <c r="D14"/>
  <c r="D15"/>
  <c r="D16"/>
  <c r="D17"/>
  <c r="D18"/>
  <c r="D19"/>
  <c r="D20"/>
  <c r="D21"/>
  <c r="D22"/>
  <c r="D74"/>
  <c r="D75"/>
  <c r="D76"/>
  <c r="D77"/>
  <c r="D78"/>
  <c r="D79"/>
  <c r="D80"/>
  <c r="D81"/>
  <c r="D82"/>
  <c r="D83"/>
  <c r="D84"/>
  <c r="D85"/>
  <c r="D86"/>
  <c r="D87"/>
  <c r="D24"/>
  <c r="D25"/>
  <c r="D27"/>
  <c r="D28"/>
  <c r="D29"/>
  <c r="D30"/>
  <c r="D31"/>
  <c r="D32"/>
  <c r="D34"/>
  <c r="D35"/>
  <c r="D36"/>
  <c r="D37"/>
  <c r="D38"/>
  <c r="D39"/>
  <c r="D40"/>
  <c r="D41"/>
  <c r="D42"/>
  <c r="D43"/>
  <c r="D44"/>
  <c r="D45"/>
  <c r="D46"/>
  <c r="D47"/>
  <c r="D48"/>
  <c r="D50"/>
  <c r="D51"/>
  <c r="D52"/>
  <c r="D53"/>
  <c r="D54"/>
  <c r="D56"/>
  <c r="D58"/>
  <c r="D59"/>
  <c r="D60"/>
  <c r="D61"/>
  <c r="D62"/>
  <c r="D63"/>
  <c r="D65"/>
  <c r="D66"/>
  <c r="D67"/>
  <c r="D69"/>
  <c r="D89"/>
  <c r="D91"/>
  <c r="F118" l="1"/>
  <c r="G118"/>
  <c r="H118"/>
  <c r="I118"/>
  <c r="F119"/>
  <c r="G119"/>
  <c r="H119"/>
  <c r="I119"/>
  <c r="D113"/>
  <c r="F113"/>
  <c r="G113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2"/>
  <c r="G12"/>
  <c r="H12"/>
  <c r="I12"/>
  <c r="F72"/>
  <c r="G72"/>
  <c r="H72"/>
  <c r="I72"/>
  <c r="F14"/>
  <c r="G14"/>
  <c r="H14"/>
  <c r="I14"/>
  <c r="F15"/>
  <c r="G15"/>
  <c r="H15"/>
  <c r="I15"/>
  <c r="F16"/>
  <c r="J16" s="1"/>
  <c r="K16" s="1"/>
  <c r="G16"/>
  <c r="H16"/>
  <c r="I16"/>
  <c r="F17"/>
  <c r="J17" s="1"/>
  <c r="K17" s="1"/>
  <c r="G17"/>
  <c r="H17"/>
  <c r="I17"/>
  <c r="F18"/>
  <c r="J18" s="1"/>
  <c r="K18" s="1"/>
  <c r="G18"/>
  <c r="H18"/>
  <c r="I18"/>
  <c r="F19"/>
  <c r="J19" s="1"/>
  <c r="K19" s="1"/>
  <c r="G19"/>
  <c r="H19"/>
  <c r="I19"/>
  <c r="F20"/>
  <c r="J20" s="1"/>
  <c r="K20" s="1"/>
  <c r="G20"/>
  <c r="H20"/>
  <c r="I20"/>
  <c r="F21"/>
  <c r="J21" s="1"/>
  <c r="K21" s="1"/>
  <c r="G21"/>
  <c r="H21"/>
  <c r="I21"/>
  <c r="F22"/>
  <c r="J22" s="1"/>
  <c r="K22" s="1"/>
  <c r="G22"/>
  <c r="H22"/>
  <c r="I22"/>
  <c r="F74"/>
  <c r="J74" s="1"/>
  <c r="K74" s="1"/>
  <c r="G74"/>
  <c r="H74"/>
  <c r="I74"/>
  <c r="F75"/>
  <c r="J75" s="1"/>
  <c r="K75" s="1"/>
  <c r="G75"/>
  <c r="H75"/>
  <c r="I75"/>
  <c r="F76"/>
  <c r="J76" s="1"/>
  <c r="K76" s="1"/>
  <c r="G76"/>
  <c r="H76"/>
  <c r="I76"/>
  <c r="F77"/>
  <c r="J77" s="1"/>
  <c r="K77" s="1"/>
  <c r="G77"/>
  <c r="H77"/>
  <c r="I77"/>
  <c r="F78"/>
  <c r="J78" s="1"/>
  <c r="K78" s="1"/>
  <c r="G78"/>
  <c r="H78"/>
  <c r="I78"/>
  <c r="F79"/>
  <c r="J79" s="1"/>
  <c r="K79" s="1"/>
  <c r="G79"/>
  <c r="H79"/>
  <c r="I79"/>
  <c r="F80"/>
  <c r="J80" s="1"/>
  <c r="K80" s="1"/>
  <c r="G80"/>
  <c r="H80"/>
  <c r="I80"/>
  <c r="F81"/>
  <c r="J81" s="1"/>
  <c r="K81" s="1"/>
  <c r="G81"/>
  <c r="H81"/>
  <c r="I81"/>
  <c r="F82"/>
  <c r="J82" s="1"/>
  <c r="K82" s="1"/>
  <c r="G82"/>
  <c r="H82"/>
  <c r="I82"/>
  <c r="F83"/>
  <c r="J83" s="1"/>
  <c r="K83" s="1"/>
  <c r="G83"/>
  <c r="H83"/>
  <c r="I83"/>
  <c r="F84"/>
  <c r="J84" s="1"/>
  <c r="K84" s="1"/>
  <c r="G84"/>
  <c r="H84"/>
  <c r="I84"/>
  <c r="F85"/>
  <c r="J85" s="1"/>
  <c r="K85" s="1"/>
  <c r="G85"/>
  <c r="H85"/>
  <c r="I85"/>
  <c r="F86"/>
  <c r="J86" s="1"/>
  <c r="K86" s="1"/>
  <c r="G86"/>
  <c r="H86"/>
  <c r="I86"/>
  <c r="F87"/>
  <c r="J87" s="1"/>
  <c r="K87" s="1"/>
  <c r="G87"/>
  <c r="H87"/>
  <c r="I87"/>
  <c r="F24"/>
  <c r="J24" s="1"/>
  <c r="K24" s="1"/>
  <c r="G24"/>
  <c r="I24"/>
  <c r="F25"/>
  <c r="G25"/>
  <c r="I25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F46"/>
  <c r="G46"/>
  <c r="H46"/>
  <c r="I46"/>
  <c r="F47"/>
  <c r="G47"/>
  <c r="H47"/>
  <c r="I47"/>
  <c r="F48"/>
  <c r="G48"/>
  <c r="H48"/>
  <c r="I48"/>
  <c r="F50"/>
  <c r="G50"/>
  <c r="H50"/>
  <c r="I50"/>
  <c r="G51"/>
  <c r="H51"/>
  <c r="I51"/>
  <c r="F52"/>
  <c r="G52"/>
  <c r="H52"/>
  <c r="I52"/>
  <c r="F53"/>
  <c r="G53"/>
  <c r="H53"/>
  <c r="I53"/>
  <c r="F54"/>
  <c r="G54"/>
  <c r="H54"/>
  <c r="I54"/>
  <c r="F56"/>
  <c r="G56"/>
  <c r="H56"/>
  <c r="I56"/>
  <c r="F58"/>
  <c r="G58"/>
  <c r="H58"/>
  <c r="I58"/>
  <c r="F59"/>
  <c r="G59"/>
  <c r="H59"/>
  <c r="I59"/>
  <c r="F60"/>
  <c r="G60"/>
  <c r="H60"/>
  <c r="I60"/>
  <c r="F61"/>
  <c r="G61"/>
  <c r="H61"/>
  <c r="I61"/>
  <c r="F62"/>
  <c r="G62"/>
  <c r="H62"/>
  <c r="I62"/>
  <c r="F63"/>
  <c r="G63"/>
  <c r="H63"/>
  <c r="I63"/>
  <c r="F65"/>
  <c r="G65"/>
  <c r="H65"/>
  <c r="I65"/>
  <c r="F66"/>
  <c r="G66"/>
  <c r="H66"/>
  <c r="I66"/>
  <c r="F67"/>
  <c r="G67"/>
  <c r="H67"/>
  <c r="I67"/>
  <c r="F69"/>
  <c r="G69"/>
  <c r="H69"/>
  <c r="I69"/>
  <c r="F89"/>
  <c r="G89"/>
  <c r="H89"/>
  <c r="I89"/>
  <c r="F91"/>
  <c r="G91"/>
  <c r="H91"/>
  <c r="I91"/>
  <c r="J15" l="1"/>
  <c r="K15" s="1"/>
  <c r="J14"/>
  <c r="K14" s="1"/>
  <c r="J72"/>
  <c r="K72" s="1"/>
  <c r="J12"/>
  <c r="K12" s="1"/>
  <c r="J108"/>
  <c r="K108" s="1"/>
  <c r="J107"/>
  <c r="K107" s="1"/>
  <c r="J106"/>
  <c r="K106" s="1"/>
  <c r="J105"/>
  <c r="K105" s="1"/>
  <c r="J104"/>
  <c r="K104" s="1"/>
  <c r="J119"/>
  <c r="K119" s="1"/>
  <c r="J103"/>
  <c r="K103" s="1"/>
  <c r="J102"/>
  <c r="K102" s="1"/>
  <c r="J101"/>
  <c r="K101" s="1"/>
  <c r="J100"/>
  <c r="K100" s="1"/>
  <c r="J99"/>
  <c r="K99" s="1"/>
  <c r="J98"/>
  <c r="K98" s="1"/>
  <c r="J25"/>
  <c r="K25" s="1"/>
  <c r="J89"/>
  <c r="K89" s="1"/>
  <c r="J66"/>
  <c r="K66" s="1"/>
  <c r="J63"/>
  <c r="K63" s="1"/>
  <c r="J60"/>
  <c r="K60" s="1"/>
  <c r="J58"/>
  <c r="K58" s="1"/>
  <c r="J54"/>
  <c r="K54" s="1"/>
  <c r="J51"/>
  <c r="K51" s="1"/>
  <c r="J48"/>
  <c r="K48" s="1"/>
  <c r="J46"/>
  <c r="K46" s="1"/>
  <c r="J45"/>
  <c r="K45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2"/>
  <c r="K32" s="1"/>
  <c r="J31"/>
  <c r="K31" s="1"/>
  <c r="J30"/>
  <c r="K30" s="1"/>
  <c r="J29"/>
  <c r="K29" s="1"/>
  <c r="J28"/>
  <c r="K28" s="1"/>
  <c r="J27"/>
  <c r="K27" s="1"/>
  <c r="J118"/>
  <c r="K118" s="1"/>
  <c r="J91"/>
  <c r="K91" s="1"/>
  <c r="J69"/>
  <c r="K69" s="1"/>
  <c r="J67"/>
  <c r="K67" s="1"/>
  <c r="J65"/>
  <c r="K65" s="1"/>
  <c r="J62"/>
  <c r="K62" s="1"/>
  <c r="J61"/>
  <c r="K61" s="1"/>
  <c r="J59"/>
  <c r="K59" s="1"/>
  <c r="J56"/>
  <c r="K56" s="1"/>
  <c r="J53"/>
  <c r="K53" s="1"/>
  <c r="J52"/>
  <c r="K52" s="1"/>
  <c r="J50"/>
  <c r="K50" s="1"/>
  <c r="J47"/>
  <c r="K47" s="1"/>
  <c r="J44"/>
  <c r="K44" s="1"/>
  <c r="D118"/>
  <c r="D119"/>
  <c r="C18"/>
  <c r="G96" i="9"/>
  <c r="E96"/>
  <c r="I96"/>
  <c r="G104"/>
  <c r="C118" i="8"/>
  <c r="C108"/>
  <c r="C107"/>
  <c r="C106"/>
  <c r="C105"/>
  <c r="C104"/>
  <c r="C103"/>
  <c r="C102"/>
  <c r="C101"/>
  <c r="C100"/>
  <c r="C98"/>
  <c r="C89"/>
  <c r="C67"/>
  <c r="C66"/>
  <c r="C63"/>
  <c r="C62"/>
  <c r="C61"/>
  <c r="C60"/>
  <c r="C59"/>
  <c r="C58"/>
  <c r="C56"/>
  <c r="C54"/>
  <c r="C53"/>
  <c r="C52"/>
  <c r="C51"/>
  <c r="C50"/>
  <c r="C48"/>
  <c r="C47"/>
  <c r="C46"/>
  <c r="C45"/>
  <c r="C44"/>
  <c r="C43"/>
  <c r="C42"/>
  <c r="C41"/>
  <c r="C40"/>
  <c r="C39"/>
  <c r="C38"/>
  <c r="C36"/>
  <c r="C35"/>
  <c r="C34"/>
  <c r="C32"/>
  <c r="C31"/>
  <c r="C30"/>
  <c r="C28"/>
  <c r="C27"/>
  <c r="C24"/>
  <c r="C87"/>
  <c r="C86"/>
  <c r="C85"/>
  <c r="C84"/>
  <c r="C83"/>
  <c r="C81"/>
  <c r="C80"/>
  <c r="C79"/>
  <c r="C78"/>
  <c r="C77"/>
  <c r="C76"/>
  <c r="C74"/>
  <c r="C22"/>
  <c r="C21"/>
  <c r="C20"/>
  <c r="C19"/>
  <c r="C17"/>
  <c r="C15"/>
  <c r="C14"/>
  <c r="C12"/>
  <c r="C55" l="1"/>
  <c r="F57"/>
  <c r="E98" i="9"/>
  <c r="G73" i="8"/>
  <c r="G102" i="9"/>
  <c r="F88" i="8"/>
  <c r="E103" i="9"/>
  <c r="F64" i="8"/>
  <c r="E95" i="9"/>
  <c r="G57" i="8"/>
  <c r="G98" i="9"/>
  <c r="G49" i="8"/>
  <c r="G97" i="9"/>
  <c r="F26" i="8"/>
  <c r="E94" i="9"/>
  <c r="F73" i="8"/>
  <c r="E102" i="9"/>
  <c r="F90" i="8"/>
  <c r="E105" i="9"/>
  <c r="G88" i="8"/>
  <c r="G103" i="9"/>
  <c r="F68" i="8"/>
  <c r="E90" i="9"/>
  <c r="G64" i="8"/>
  <c r="G95" i="9"/>
  <c r="G55" i="8"/>
  <c r="G92" i="9"/>
  <c r="G33" i="8"/>
  <c r="G99" i="9"/>
  <c r="G23" i="8"/>
  <c r="G91" i="9"/>
  <c r="G13" i="8"/>
  <c r="G93" i="9"/>
  <c r="H88" i="8"/>
  <c r="I103" i="9"/>
  <c r="H64" i="8"/>
  <c r="I95" i="9"/>
  <c r="G26" i="8"/>
  <c r="G94" i="9"/>
  <c r="F11" i="8"/>
  <c r="E89" i="9"/>
  <c r="H90" i="8"/>
  <c r="I105" i="9"/>
  <c r="H68" i="8"/>
  <c r="I90" i="9"/>
  <c r="F55" i="8"/>
  <c r="E92" i="9"/>
  <c r="G90" i="8"/>
  <c r="G68"/>
  <c r="G90" i="9"/>
  <c r="H57" i="8"/>
  <c r="I98" i="9"/>
  <c r="H26" i="8"/>
  <c r="I94" i="9"/>
  <c r="H73" i="8"/>
  <c r="I102" i="9"/>
  <c r="G71" i="8"/>
  <c r="G101" i="9"/>
  <c r="H49" i="8"/>
  <c r="I97" i="9"/>
  <c r="H55" i="8"/>
  <c r="I92" i="9"/>
  <c r="C82" i="8"/>
  <c r="C25"/>
  <c r="C69"/>
  <c r="G117"/>
  <c r="C75"/>
  <c r="C65"/>
  <c r="C96" i="9"/>
  <c r="C99" i="8"/>
  <c r="C104" i="9"/>
  <c r="C119" i="8"/>
  <c r="F97"/>
  <c r="C16"/>
  <c r="C37"/>
  <c r="F112"/>
  <c r="G97"/>
  <c r="H97"/>
  <c r="C72"/>
  <c r="C29"/>
  <c r="C91"/>
  <c r="C113"/>
  <c r="I104" i="9"/>
  <c r="E104"/>
  <c r="G105"/>
  <c r="G89"/>
  <c r="G70" i="8" l="1"/>
  <c r="F111"/>
  <c r="F114"/>
  <c r="D61" i="4" s="1"/>
  <c r="G116" i="8"/>
  <c r="G120"/>
  <c r="F64" i="4" s="1"/>
  <c r="G100" i="9"/>
  <c r="H113" i="8"/>
  <c r="H112"/>
  <c r="G88" i="9"/>
  <c r="H109" i="8"/>
  <c r="H57" i="4" s="1"/>
  <c r="H96" i="8"/>
  <c r="G109"/>
  <c r="F57" i="4" s="1"/>
  <c r="G96" i="8"/>
  <c r="F109"/>
  <c r="D57" i="4" s="1"/>
  <c r="F96" i="8"/>
  <c r="C92" i="9"/>
  <c r="F33" i="8"/>
  <c r="E99" i="9"/>
  <c r="F13" i="8"/>
  <c r="E93" i="9"/>
  <c r="I73" i="8"/>
  <c r="J73" s="1"/>
  <c r="K73" s="1"/>
  <c r="I33"/>
  <c r="K99" i="9"/>
  <c r="C57" i="8"/>
  <c r="C98" i="9"/>
  <c r="C88" i="8"/>
  <c r="C103" i="9"/>
  <c r="C73" i="8"/>
  <c r="C102" i="9"/>
  <c r="I55" i="8"/>
  <c r="J55" s="1"/>
  <c r="K55" s="1"/>
  <c r="C26"/>
  <c r="C94" i="9"/>
  <c r="C49" i="8"/>
  <c r="C13"/>
  <c r="C93" i="9"/>
  <c r="C11" i="8"/>
  <c r="C89" i="9"/>
  <c r="C23" i="8"/>
  <c r="C91" i="9"/>
  <c r="I68" i="8"/>
  <c r="J68" s="1"/>
  <c r="K68" s="1"/>
  <c r="F23"/>
  <c r="C64"/>
  <c r="C95" i="9"/>
  <c r="I90" i="8"/>
  <c r="J90" s="1"/>
  <c r="K90" s="1"/>
  <c r="E101" i="9"/>
  <c r="I26" i="8"/>
  <c r="J26" s="1"/>
  <c r="K26" s="1"/>
  <c r="C71"/>
  <c r="C101" i="9"/>
  <c r="C33" i="8"/>
  <c r="C99" i="9"/>
  <c r="C68" i="8"/>
  <c r="C90" i="9"/>
  <c r="I11" i="8"/>
  <c r="K89" i="9"/>
  <c r="C90" i="8"/>
  <c r="F117"/>
  <c r="C97"/>
  <c r="H117"/>
  <c r="C112"/>
  <c r="G11"/>
  <c r="G112"/>
  <c r="C117"/>
  <c r="D104" i="9"/>
  <c r="H104" s="1"/>
  <c r="K104" l="1"/>
  <c r="C120" i="8"/>
  <c r="C116"/>
  <c r="G111"/>
  <c r="G114"/>
  <c r="F61" i="4" s="1"/>
  <c r="K94" i="9"/>
  <c r="E91"/>
  <c r="E88" s="1"/>
  <c r="I57" i="4"/>
  <c r="H21"/>
  <c r="H58"/>
  <c r="I58" s="1"/>
  <c r="H111" i="8"/>
  <c r="H114"/>
  <c r="H61" i="4" s="1"/>
  <c r="G64"/>
  <c r="F33"/>
  <c r="F66"/>
  <c r="G66" s="1"/>
  <c r="G10" i="8"/>
  <c r="G94"/>
  <c r="C109"/>
  <c r="C96"/>
  <c r="C100" i="9"/>
  <c r="F10" i="8"/>
  <c r="C70"/>
  <c r="E100" i="9"/>
  <c r="K90"/>
  <c r="C88"/>
  <c r="K92"/>
  <c r="K102"/>
  <c r="F104"/>
  <c r="G57" i="4"/>
  <c r="F21"/>
  <c r="F58"/>
  <c r="G58" s="1"/>
  <c r="G106" i="9"/>
  <c r="J104"/>
  <c r="K96"/>
  <c r="K105"/>
  <c r="C114" i="8"/>
  <c r="C111"/>
  <c r="H120"/>
  <c r="H64" i="4" s="1"/>
  <c r="H116" i="8"/>
  <c r="F116"/>
  <c r="F120"/>
  <c r="D64" i="4" s="1"/>
  <c r="F71" i="8"/>
  <c r="C10"/>
  <c r="C94"/>
  <c r="E57" i="4"/>
  <c r="D21"/>
  <c r="D58"/>
  <c r="E58" s="1"/>
  <c r="D30"/>
  <c r="E61"/>
  <c r="D62"/>
  <c r="E62" s="1"/>
  <c r="H23" i="8"/>
  <c r="I91" i="9"/>
  <c r="I49" i="8"/>
  <c r="J49" s="1"/>
  <c r="K49" s="1"/>
  <c r="I64"/>
  <c r="J64" s="1"/>
  <c r="K64" s="1"/>
  <c r="D57"/>
  <c r="D64"/>
  <c r="D68"/>
  <c r="I88"/>
  <c r="J88" s="1"/>
  <c r="K88" s="1"/>
  <c r="D88"/>
  <c r="D90"/>
  <c r="D98" i="9"/>
  <c r="D26" i="8"/>
  <c r="I13"/>
  <c r="K93" i="9"/>
  <c r="D33" i="8"/>
  <c r="D23"/>
  <c r="I57"/>
  <c r="J57" s="1"/>
  <c r="K57" s="1"/>
  <c r="I71"/>
  <c r="H33"/>
  <c r="J33" s="1"/>
  <c r="K33" s="1"/>
  <c r="H13"/>
  <c r="I93" i="9"/>
  <c r="I23" i="8"/>
  <c r="K91" i="9"/>
  <c r="H11" i="8"/>
  <c r="I89" i="9"/>
  <c r="D73" i="8"/>
  <c r="D13"/>
  <c r="D71"/>
  <c r="D11"/>
  <c r="I97"/>
  <c r="I117"/>
  <c r="D96" i="9"/>
  <c r="J13" i="8" l="1"/>
  <c r="K13" s="1"/>
  <c r="I70"/>
  <c r="J23"/>
  <c r="K23" s="1"/>
  <c r="I10"/>
  <c r="C121"/>
  <c r="I116"/>
  <c r="I120"/>
  <c r="J64" i="4" s="1"/>
  <c r="L64" s="1"/>
  <c r="H10" i="8"/>
  <c r="K101" i="9"/>
  <c r="I101"/>
  <c r="K103"/>
  <c r="K97"/>
  <c r="J11" i="8"/>
  <c r="E64" i="4"/>
  <c r="D33"/>
  <c r="D66"/>
  <c r="E66" s="1"/>
  <c r="H33"/>
  <c r="I64"/>
  <c r="H66"/>
  <c r="I66" s="1"/>
  <c r="M102" i="9"/>
  <c r="M92"/>
  <c r="D7" i="5"/>
  <c r="C106" i="9"/>
  <c r="I61" i="4"/>
  <c r="H30"/>
  <c r="H62"/>
  <c r="I62" s="1"/>
  <c r="M91" i="9"/>
  <c r="I113" i="8"/>
  <c r="J113" s="1"/>
  <c r="K113" s="1"/>
  <c r="I112"/>
  <c r="H71"/>
  <c r="H70" s="1"/>
  <c r="E106" i="9"/>
  <c r="L96"/>
  <c r="M96"/>
  <c r="M90"/>
  <c r="I94" i="8"/>
  <c r="I109"/>
  <c r="J57" i="4" s="1"/>
  <c r="I96" i="8"/>
  <c r="J97"/>
  <c r="J96" i="9"/>
  <c r="F96"/>
  <c r="H96"/>
  <c r="K98"/>
  <c r="H98"/>
  <c r="J98"/>
  <c r="F98"/>
  <c r="K95"/>
  <c r="F70" i="8"/>
  <c r="F94"/>
  <c r="J117"/>
  <c r="L29" i="11"/>
  <c r="M29" s="1"/>
  <c r="G33" i="4"/>
  <c r="F35"/>
  <c r="M93" i="9"/>
  <c r="M94"/>
  <c r="F30" i="4"/>
  <c r="G61"/>
  <c r="F62"/>
  <c r="G62" s="1"/>
  <c r="L104" i="9"/>
  <c r="M104"/>
  <c r="D100" i="8"/>
  <c r="D104"/>
  <c r="D108"/>
  <c r="D99"/>
  <c r="D103"/>
  <c r="D101"/>
  <c r="D105"/>
  <c r="D97"/>
  <c r="D107"/>
  <c r="D98"/>
  <c r="D102"/>
  <c r="D106"/>
  <c r="D70"/>
  <c r="M89" i="9"/>
  <c r="I99"/>
  <c r="I88" s="1"/>
  <c r="I26" i="11"/>
  <c r="J26" s="1"/>
  <c r="E30" i="4"/>
  <c r="D31"/>
  <c r="I17" i="11"/>
  <c r="J17" s="1"/>
  <c r="E21" i="4"/>
  <c r="D22"/>
  <c r="M105" i="9"/>
  <c r="L17" i="11"/>
  <c r="M17" s="1"/>
  <c r="G21" i="4"/>
  <c r="F22"/>
  <c r="F52"/>
  <c r="G121" i="8"/>
  <c r="O17" i="11"/>
  <c r="P17" s="1"/>
  <c r="I21" i="4"/>
  <c r="H22"/>
  <c r="D90" i="9"/>
  <c r="D49" i="8"/>
  <c r="D99" i="9"/>
  <c r="D94"/>
  <c r="L94" s="1"/>
  <c r="D105"/>
  <c r="L105" s="1"/>
  <c r="D103"/>
  <c r="D97"/>
  <c r="D92"/>
  <c r="L92" s="1"/>
  <c r="D95"/>
  <c r="D91"/>
  <c r="H91" s="1"/>
  <c r="D102"/>
  <c r="L102" s="1"/>
  <c r="D93"/>
  <c r="D101"/>
  <c r="D89"/>
  <c r="J89" s="1"/>
  <c r="D55" i="8"/>
  <c r="J71" l="1"/>
  <c r="K88" i="9"/>
  <c r="D10" i="8"/>
  <c r="D100" i="9"/>
  <c r="H101"/>
  <c r="F101"/>
  <c r="O90"/>
  <c r="P90" s="1"/>
  <c r="H90"/>
  <c r="F90"/>
  <c r="J90"/>
  <c r="L18" i="11"/>
  <c r="M18" s="1"/>
  <c r="G22" i="4"/>
  <c r="I27" i="11"/>
  <c r="J27" s="1"/>
  <c r="E31" i="4"/>
  <c r="J99" i="9"/>
  <c r="M99"/>
  <c r="O99" s="1"/>
  <c r="P99" s="1"/>
  <c r="N94"/>
  <c r="Q94"/>
  <c r="R94" s="1"/>
  <c r="J120" i="8"/>
  <c r="K120" s="1"/>
  <c r="J116"/>
  <c r="K116" s="1"/>
  <c r="K117"/>
  <c r="J70"/>
  <c r="K70" s="1"/>
  <c r="K71"/>
  <c r="L98" i="9"/>
  <c r="M98"/>
  <c r="J52" i="4"/>
  <c r="D94" i="8"/>
  <c r="F91" i="9"/>
  <c r="I29" i="11"/>
  <c r="J29" s="1"/>
  <c r="E33" i="4"/>
  <c r="D35"/>
  <c r="L97" i="9"/>
  <c r="M97"/>
  <c r="O97" s="1"/>
  <c r="P97" s="1"/>
  <c r="I100"/>
  <c r="I106" s="1"/>
  <c r="J101"/>
  <c r="M101"/>
  <c r="H94" i="8"/>
  <c r="O93" i="9"/>
  <c r="P93" s="1"/>
  <c r="H93"/>
  <c r="F93"/>
  <c r="H92"/>
  <c r="J92"/>
  <c r="F92"/>
  <c r="H103"/>
  <c r="J103"/>
  <c r="F103"/>
  <c r="O105"/>
  <c r="P105" s="1"/>
  <c r="H105"/>
  <c r="J105"/>
  <c r="F105"/>
  <c r="H99"/>
  <c r="L99"/>
  <c r="F99"/>
  <c r="I18" i="11"/>
  <c r="J18" s="1"/>
  <c r="E22" i="4"/>
  <c r="E7" i="5"/>
  <c r="F7" s="1"/>
  <c r="L95" i="9"/>
  <c r="M95"/>
  <c r="O95" s="1"/>
  <c r="P95" s="1"/>
  <c r="J96" i="8"/>
  <c r="K96" s="1"/>
  <c r="J109"/>
  <c r="K109" s="1"/>
  <c r="K97"/>
  <c r="N90" i="9"/>
  <c r="Q90"/>
  <c r="R90" s="1"/>
  <c r="I114" i="8"/>
  <c r="J61" i="4" s="1"/>
  <c r="I111" i="8"/>
  <c r="J112"/>
  <c r="N102" i="9"/>
  <c r="Q102"/>
  <c r="R102" s="1"/>
  <c r="D88"/>
  <c r="L88" s="1"/>
  <c r="O89"/>
  <c r="H89"/>
  <c r="F89"/>
  <c r="L89"/>
  <c r="O18" i="11"/>
  <c r="P18" s="1"/>
  <c r="I22" i="4"/>
  <c r="G52"/>
  <c r="F70"/>
  <c r="F16"/>
  <c r="F54"/>
  <c r="G54" s="1"/>
  <c r="L91" i="9"/>
  <c r="N93"/>
  <c r="Q93"/>
  <c r="R93" s="1"/>
  <c r="F121" i="8"/>
  <c r="D52" i="4"/>
  <c r="L90" i="9"/>
  <c r="J93"/>
  <c r="O26" i="11"/>
  <c r="P26" s="1"/>
  <c r="I30" i="4"/>
  <c r="H31"/>
  <c r="O29" i="11"/>
  <c r="P29" s="1"/>
  <c r="I33" i="4"/>
  <c r="H35"/>
  <c r="N64"/>
  <c r="P64"/>
  <c r="L33"/>
  <c r="M64"/>
  <c r="L66"/>
  <c r="M66" s="1"/>
  <c r="L103" i="9"/>
  <c r="M103"/>
  <c r="O103" s="1"/>
  <c r="P103" s="1"/>
  <c r="L101"/>
  <c r="K100"/>
  <c r="J33" i="4"/>
  <c r="K64"/>
  <c r="J66"/>
  <c r="K66" s="1"/>
  <c r="O102" i="9"/>
  <c r="P102" s="1"/>
  <c r="F102"/>
  <c r="J102"/>
  <c r="H102"/>
  <c r="H95"/>
  <c r="F95"/>
  <c r="J95"/>
  <c r="J97"/>
  <c r="H97"/>
  <c r="F97"/>
  <c r="O94"/>
  <c r="P94" s="1"/>
  <c r="H94"/>
  <c r="F94"/>
  <c r="J94"/>
  <c r="N105"/>
  <c r="Q105"/>
  <c r="R105" s="1"/>
  <c r="J91"/>
  <c r="N89"/>
  <c r="Q89"/>
  <c r="R89" s="1"/>
  <c r="D109" i="8"/>
  <c r="D96"/>
  <c r="O104" i="9"/>
  <c r="P104" s="1"/>
  <c r="N104"/>
  <c r="Q104"/>
  <c r="R104" s="1"/>
  <c r="L26" i="11"/>
  <c r="M26" s="1"/>
  <c r="G30" i="4"/>
  <c r="F31"/>
  <c r="L31" i="11"/>
  <c r="M31" s="1"/>
  <c r="G35" i="4"/>
  <c r="L93" i="9"/>
  <c r="K57" i="4"/>
  <c r="J21"/>
  <c r="J58"/>
  <c r="K58" s="1"/>
  <c r="L57"/>
  <c r="O96" i="9"/>
  <c r="P96" s="1"/>
  <c r="N96"/>
  <c r="Q96"/>
  <c r="R96" s="1"/>
  <c r="M88"/>
  <c r="O91"/>
  <c r="P91" s="1"/>
  <c r="N91"/>
  <c r="Q91"/>
  <c r="R91" s="1"/>
  <c r="O92"/>
  <c r="P92" s="1"/>
  <c r="N92"/>
  <c r="Q92"/>
  <c r="R92" s="1"/>
  <c r="J10" i="8"/>
  <c r="J94"/>
  <c r="K11"/>
  <c r="K10" s="1"/>
  <c r="L100" i="9" l="1"/>
  <c r="R17" i="11"/>
  <c r="S17" s="1"/>
  <c r="K21" i="4"/>
  <c r="J22"/>
  <c r="R29" i="11"/>
  <c r="S29" s="1"/>
  <c r="K33" i="4"/>
  <c r="J35"/>
  <c r="P33"/>
  <c r="Q64"/>
  <c r="P66"/>
  <c r="Q66" s="1"/>
  <c r="H121" i="8"/>
  <c r="H52" i="4"/>
  <c r="L52" s="1"/>
  <c r="N97" i="9"/>
  <c r="Q97"/>
  <c r="R97" s="1"/>
  <c r="J16" i="4"/>
  <c r="J70"/>
  <c r="K52"/>
  <c r="J54"/>
  <c r="K54" s="1"/>
  <c r="L27" i="11"/>
  <c r="M27" s="1"/>
  <c r="G31" i="4"/>
  <c r="O64"/>
  <c r="N33"/>
  <c r="N66"/>
  <c r="O66" s="1"/>
  <c r="O27" i="11"/>
  <c r="P27" s="1"/>
  <c r="I31" i="4"/>
  <c r="F25"/>
  <c r="L12" i="11"/>
  <c r="M12" s="1"/>
  <c r="G16" i="4"/>
  <c r="F39"/>
  <c r="F18"/>
  <c r="P89" i="9"/>
  <c r="J111" i="8"/>
  <c r="K111" s="1"/>
  <c r="J114"/>
  <c r="K114" s="1"/>
  <c r="K112"/>
  <c r="N95" i="9"/>
  <c r="Q95"/>
  <c r="R95" s="1"/>
  <c r="N101"/>
  <c r="Q101"/>
  <c r="R101" s="1"/>
  <c r="N98"/>
  <c r="Q98"/>
  <c r="R98" s="1"/>
  <c r="O98"/>
  <c r="P98" s="1"/>
  <c r="K94" i="8"/>
  <c r="N88" i="9"/>
  <c r="Q88"/>
  <c r="P57" i="4"/>
  <c r="M57"/>
  <c r="N57"/>
  <c r="L21"/>
  <c r="L58"/>
  <c r="M58" s="1"/>
  <c r="O31" i="11"/>
  <c r="P31" s="1"/>
  <c r="I35" i="4"/>
  <c r="G70"/>
  <c r="F72"/>
  <c r="G72" s="1"/>
  <c r="D106" i="9"/>
  <c r="H88"/>
  <c r="F88"/>
  <c r="J88"/>
  <c r="I31" i="11"/>
  <c r="J31" s="1"/>
  <c r="E35" i="4"/>
  <c r="D121" i="8"/>
  <c r="N99" i="9"/>
  <c r="Q99"/>
  <c r="R99" s="1"/>
  <c r="O101"/>
  <c r="N103"/>
  <c r="Q103"/>
  <c r="R103" s="1"/>
  <c r="M33" i="4"/>
  <c r="U29" i="11"/>
  <c r="V29" s="1"/>
  <c r="L35" i="4"/>
  <c r="D70"/>
  <c r="E52"/>
  <c r="D16"/>
  <c r="D54"/>
  <c r="E54" s="1"/>
  <c r="K61"/>
  <c r="J30"/>
  <c r="J62"/>
  <c r="K62" s="1"/>
  <c r="L61"/>
  <c r="K106" i="9"/>
  <c r="J100"/>
  <c r="M100"/>
  <c r="I121" i="8"/>
  <c r="H100" i="9"/>
  <c r="F100"/>
  <c r="L106" l="1"/>
  <c r="K121" i="8"/>
  <c r="J121"/>
  <c r="O88" i="9"/>
  <c r="P88" s="1"/>
  <c r="N52" i="4"/>
  <c r="M52"/>
  <c r="L70"/>
  <c r="L16"/>
  <c r="P52"/>
  <c r="L54"/>
  <c r="M54" s="1"/>
  <c r="H106" i="9"/>
  <c r="F106"/>
  <c r="L35" i="11"/>
  <c r="M35" s="1"/>
  <c r="G39" i="4"/>
  <c r="F41"/>
  <c r="G41" s="1"/>
  <c r="Q57"/>
  <c r="P21"/>
  <c r="P58"/>
  <c r="Q58" s="1"/>
  <c r="K70"/>
  <c r="J72"/>
  <c r="K72" s="1"/>
  <c r="H16"/>
  <c r="H70"/>
  <c r="I52"/>
  <c r="H54"/>
  <c r="I54" s="1"/>
  <c r="AA29" i="11"/>
  <c r="AB29" s="1"/>
  <c r="Q33" i="4"/>
  <c r="P35"/>
  <c r="R18" i="11"/>
  <c r="S18" s="1"/>
  <c r="K22" i="4"/>
  <c r="N100" i="9"/>
  <c r="Q100"/>
  <c r="R100" s="1"/>
  <c r="U17" i="11"/>
  <c r="V17" s="1"/>
  <c r="M21" i="4"/>
  <c r="L22"/>
  <c r="R88" i="9"/>
  <c r="R12" i="11"/>
  <c r="S12" s="1"/>
  <c r="K16" i="4"/>
  <c r="J25"/>
  <c r="J39"/>
  <c r="J18"/>
  <c r="R31" i="11"/>
  <c r="S31" s="1"/>
  <c r="K35" i="4"/>
  <c r="M61"/>
  <c r="L30"/>
  <c r="P61"/>
  <c r="P30" s="1"/>
  <c r="N61"/>
  <c r="L62"/>
  <c r="M62" s="1"/>
  <c r="E70"/>
  <c r="D72"/>
  <c r="E72" s="1"/>
  <c r="I12" i="11"/>
  <c r="J12" s="1"/>
  <c r="D25" i="4"/>
  <c r="D39"/>
  <c r="E16"/>
  <c r="D18"/>
  <c r="U31" i="11"/>
  <c r="V31" s="1"/>
  <c r="M35" i="4"/>
  <c r="J106" i="9"/>
  <c r="R26" i="11"/>
  <c r="S26" s="1"/>
  <c r="K30" i="4"/>
  <c r="J31"/>
  <c r="P101" i="9"/>
  <c r="O100"/>
  <c r="P100" s="1"/>
  <c r="O57" i="4"/>
  <c r="N21"/>
  <c r="N58"/>
  <c r="O58" s="1"/>
  <c r="M106" i="9"/>
  <c r="N106" s="1"/>
  <c r="L14" i="11"/>
  <c r="M14" s="1"/>
  <c r="G18" i="4"/>
  <c r="L21" i="11"/>
  <c r="M21" s="1"/>
  <c r="G25" i="4"/>
  <c r="F27"/>
  <c r="X29" i="11"/>
  <c r="Y29" s="1"/>
  <c r="O33" i="4"/>
  <c r="N35"/>
  <c r="Q61" l="1"/>
  <c r="P62"/>
  <c r="Q62" s="1"/>
  <c r="Q106" i="9"/>
  <c r="R106" s="1"/>
  <c r="M16" i="4"/>
  <c r="L39"/>
  <c r="L25"/>
  <c r="U12" i="11"/>
  <c r="V12" s="1"/>
  <c r="L18" i="4"/>
  <c r="I35" i="11"/>
  <c r="J35" s="1"/>
  <c r="E39" i="4"/>
  <c r="D41"/>
  <c r="R14" i="11"/>
  <c r="S14" s="1"/>
  <c r="K18" i="4"/>
  <c r="Q35"/>
  <c r="AA31" i="11"/>
  <c r="AB31" s="1"/>
  <c r="M70" i="4"/>
  <c r="L72"/>
  <c r="M72" s="1"/>
  <c r="R27" i="11"/>
  <c r="S27" s="1"/>
  <c r="K31" i="4"/>
  <c r="M30"/>
  <c r="U26" i="11"/>
  <c r="V26" s="1"/>
  <c r="L31" i="4"/>
  <c r="L23" i="11"/>
  <c r="M23" s="1"/>
  <c r="G27" i="4"/>
  <c r="I21" i="11"/>
  <c r="J21" s="1"/>
  <c r="E25" i="4"/>
  <c r="D27"/>
  <c r="R35" i="11"/>
  <c r="S35" s="1"/>
  <c r="K39" i="4"/>
  <c r="J41"/>
  <c r="O106" i="9"/>
  <c r="P106" s="1"/>
  <c r="U18" i="11"/>
  <c r="V18" s="1"/>
  <c r="M22" i="4"/>
  <c r="I70"/>
  <c r="H72"/>
  <c r="I72" s="1"/>
  <c r="X17" i="11"/>
  <c r="Y17" s="1"/>
  <c r="O21" i="4"/>
  <c r="N22"/>
  <c r="O35"/>
  <c r="X31" i="11"/>
  <c r="Y31" s="1"/>
  <c r="I14"/>
  <c r="J14" s="1"/>
  <c r="E18" i="4"/>
  <c r="N30"/>
  <c r="O61"/>
  <c r="N62"/>
  <c r="O62" s="1"/>
  <c r="K25"/>
  <c r="R21" i="11"/>
  <c r="S21" s="1"/>
  <c r="J27" i="4"/>
  <c r="H25"/>
  <c r="H39"/>
  <c r="O12" i="11"/>
  <c r="P12" s="1"/>
  <c r="I16" i="4"/>
  <c r="H18"/>
  <c r="AA17" i="11"/>
  <c r="AB17" s="1"/>
  <c r="Q21" i="4"/>
  <c r="P22"/>
  <c r="Q52"/>
  <c r="P16"/>
  <c r="P70"/>
  <c r="P54"/>
  <c r="Q54" s="1"/>
  <c r="N70"/>
  <c r="O52"/>
  <c r="N16"/>
  <c r="N54"/>
  <c r="O54" s="1"/>
  <c r="O30" l="1"/>
  <c r="X26" i="11"/>
  <c r="Y26" s="1"/>
  <c r="N31" i="4"/>
  <c r="I23" i="11"/>
  <c r="J23" s="1"/>
  <c r="E27" i="4"/>
  <c r="E41"/>
  <c r="I37" i="11"/>
  <c r="J37" s="1"/>
  <c r="X12"/>
  <c r="Y12" s="1"/>
  <c r="O16" i="4"/>
  <c r="N25"/>
  <c r="N39"/>
  <c r="N18"/>
  <c r="AA12" i="11"/>
  <c r="AB12" s="1"/>
  <c r="P25" i="4"/>
  <c r="P39"/>
  <c r="Q16"/>
  <c r="P18"/>
  <c r="O35" i="11"/>
  <c r="P35" s="1"/>
  <c r="I39" i="4"/>
  <c r="H41"/>
  <c r="X18" i="11"/>
  <c r="Y18" s="1"/>
  <c r="O22" i="4"/>
  <c r="K41"/>
  <c r="R37" i="11"/>
  <c r="S37" s="1"/>
  <c r="U27"/>
  <c r="V27" s="1"/>
  <c r="M31" i="4"/>
  <c r="U21" i="11"/>
  <c r="V21" s="1"/>
  <c r="M25" i="4"/>
  <c r="L27"/>
  <c r="Q70"/>
  <c r="P72"/>
  <c r="Q72" s="1"/>
  <c r="U35" i="11"/>
  <c r="V35" s="1"/>
  <c r="M39" i="4"/>
  <c r="L41"/>
  <c r="Q30"/>
  <c r="AA26" i="11"/>
  <c r="AB26" s="1"/>
  <c r="P31" i="4"/>
  <c r="O70"/>
  <c r="N72"/>
  <c r="O72" s="1"/>
  <c r="O14" i="11"/>
  <c r="P14" s="1"/>
  <c r="I18" i="4"/>
  <c r="O21" i="11"/>
  <c r="P21" s="1"/>
  <c r="I25" i="4"/>
  <c r="H27"/>
  <c r="AA18" i="11"/>
  <c r="AB18" s="1"/>
  <c r="Q22" i="4"/>
  <c r="R23" i="11"/>
  <c r="S23" s="1"/>
  <c r="K27" i="4"/>
  <c r="U14" i="11"/>
  <c r="V14" s="1"/>
  <c r="M18" i="4"/>
  <c r="I41" l="1"/>
  <c r="O37" i="11"/>
  <c r="P37" s="1"/>
  <c r="X14"/>
  <c r="Y14" s="1"/>
  <c r="O18" i="4"/>
  <c r="AA35" i="11"/>
  <c r="AB35" s="1"/>
  <c r="Q39" i="4"/>
  <c r="P41"/>
  <c r="X35" i="11"/>
  <c r="Y35" s="1"/>
  <c r="O39" i="4"/>
  <c r="N41"/>
  <c r="X27" i="11"/>
  <c r="Y27" s="1"/>
  <c r="O31" i="4"/>
  <c r="M41"/>
  <c r="U37" i="11"/>
  <c r="V37" s="1"/>
  <c r="Q25" i="4"/>
  <c r="AA21" i="11"/>
  <c r="AB21" s="1"/>
  <c r="P27" i="4"/>
  <c r="O25"/>
  <c r="X21" i="11"/>
  <c r="Y21" s="1"/>
  <c r="N27" i="4"/>
  <c r="O23" i="11"/>
  <c r="P23" s="1"/>
  <c r="I27" i="4"/>
  <c r="Q31"/>
  <c r="AA27" i="11"/>
  <c r="AB27" s="1"/>
  <c r="U23"/>
  <c r="V23" s="1"/>
  <c r="M27" i="4"/>
  <c r="Q18"/>
  <c r="AA14" i="11"/>
  <c r="AB14" s="1"/>
  <c r="O27" i="4" l="1"/>
  <c r="X23" i="11"/>
  <c r="Y23" s="1"/>
  <c r="Q41" i="4"/>
  <c r="AA37" i="11"/>
  <c r="AB37" s="1"/>
  <c r="O41" i="4"/>
  <c r="X37" i="11"/>
  <c r="Y37" s="1"/>
  <c r="AA23"/>
  <c r="AB23" s="1"/>
  <c r="Q27" i="4"/>
</calcChain>
</file>

<file path=xl/comments1.xml><?xml version="1.0" encoding="utf-8"?>
<comments xmlns="http://schemas.openxmlformats.org/spreadsheetml/2006/main">
  <authors>
    <author>FDA-DC001</author>
  </authors>
  <commentList>
    <comment ref="E254" authorId="0">
      <text>
        <r>
          <rPr>
            <b/>
            <sz val="9"/>
            <color indexed="81"/>
            <rFont val="Tahoma"/>
            <family val="2"/>
          </rPr>
          <t>แจ้งคืน 144,000.-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<sst xmlns="http://schemas.openxmlformats.org/spreadsheetml/2006/main" count="2457" uniqueCount="942">
  <si>
    <t>ตาม พรบ.2566</t>
  </si>
  <si>
    <t>งวด#1</t>
  </si>
  <si>
    <t>งวด#2</t>
  </si>
  <si>
    <t>งวด#3</t>
  </si>
  <si>
    <t>รวมเงินงวด</t>
  </si>
  <si>
    <t>ผูกพันมี PO</t>
  </si>
  <si>
    <t>ขอเบิกที่ไม่มี PO</t>
  </si>
  <si>
    <t>ขอเบิกที่มี PO</t>
  </si>
  <si>
    <t>เบิก</t>
  </si>
  <si>
    <t>คงเหลือ
เงินงวด#1</t>
  </si>
  <si>
    <t xml:space="preserve">คงเหลือ
ตาม พรบ </t>
  </si>
  <si>
    <t>รวมทั้งสิ้น</t>
  </si>
  <si>
    <t>รวม แผน 1 ผล 1</t>
  </si>
  <si>
    <t>ค่าตอบแทนเต็มขั้น</t>
  </si>
  <si>
    <t>เงินไม่ทำเวช</t>
  </si>
  <si>
    <t>เงินเสี่ยงภัยชายแดนใต้</t>
  </si>
  <si>
    <t>เงินเพิ่มสมทบพนักงานราชการ</t>
  </si>
  <si>
    <t>เงินประกันสังคมพนักงานราชการ</t>
  </si>
  <si>
    <t>สล.รับผิดชอบ</t>
  </si>
  <si>
    <t>1. ค่าซ่อมแซมครุภัณฑ์</t>
  </si>
  <si>
    <t>2. ค่าซ่อมแซมยานพาหนะ</t>
  </si>
  <si>
    <t>3. ค่าเช่าคลัง (พุทธมณฑล)</t>
  </si>
  <si>
    <t>4. ค่าจ้างบำรุงสายด่วน 1556</t>
  </si>
  <si>
    <t>5. ค่าเช่า E-sarabun</t>
  </si>
  <si>
    <t>6. ค่ารถประจำตำแหน่ง</t>
  </si>
  <si>
    <t>7. ค่าจ้างดูแลสำนักงาน</t>
  </si>
  <si>
    <t xml:space="preserve"> - ค่าล้างถังเก็บน้ำประปา</t>
  </si>
  <si>
    <t xml:space="preserve"> - ค่าดูแลตู้ระบบไฟฟ้าสำนักงานฯ </t>
  </si>
  <si>
    <t xml:space="preserve"> - ค่าธรรมเนียมเก็บขยะมูลฝอย</t>
  </si>
  <si>
    <t xml:space="preserve"> - จ้างดูแลทำความสะอาดพื้นที่อาคาร </t>
  </si>
  <si>
    <t xml:space="preserve"> - จ้างดูแลสนามหญ้าและต้นไม้รอบพื้นที่อาคาร อย. </t>
  </si>
  <si>
    <t xml:space="preserve"> - ค่าจ้างดูแลทำความสะอาดเครื่องปรับอากาศ</t>
  </si>
  <si>
    <t xml:space="preserve"> - ค่าจ้างดูแลบำรุงรักษาลิฟท์สำนักงานฯ อ15</t>
  </si>
  <si>
    <t xml:space="preserve"> - ค่าจ้างดูแลบำรุงรักษาลิฟท์สำนักงานฯ อ6</t>
  </si>
  <si>
    <t xml:space="preserve"> - ค่าจ้างพนักงาน รปภ.</t>
  </si>
  <si>
    <t xml:space="preserve"> - ค่าจ้างดูแลรักษาปั้มน้ำ ปั้มดับเพลิง ปั้มน้ำขึ้นถังสูง </t>
  </si>
  <si>
    <t xml:space="preserve"> - ค่าจ้างดูแลบำรุงรักษาระบบสัญญาณเตือนเพลิงไหม้ภายในอาคาร อย </t>
  </si>
  <si>
    <t xml:space="preserve"> - ค่าจ้างดูแลบำรุงรักษาตู้สาขาอัตโนมัติภายในอาคาร อย</t>
  </si>
  <si>
    <t xml:space="preserve"> - ค่าจ้างดูแลกำจัดปลวก มด หนู แมลงสาป ภายในอาคาร อย </t>
  </si>
  <si>
    <t xml:space="preserve"> - ค่าใช้บริการกระดาษเช็ดมือแบบแผ่น อาคาร 1 ชั้น 1 และ 2</t>
  </si>
  <si>
    <t xml:space="preserve"> - ค่าไฟฟ้า</t>
  </si>
  <si>
    <t xml:space="preserve"> - ค่าน้ำประปา</t>
  </si>
  <si>
    <t xml:space="preserve"> - ค่าโทรศัพท์เคลื่อนที่</t>
  </si>
  <si>
    <t xml:space="preserve"> - ค่าโทรศัพท์สำนักงาน</t>
  </si>
  <si>
    <t xml:space="preserve"> - ค่าไปรษณีย์</t>
  </si>
  <si>
    <t xml:space="preserve"> - ค่า UBC</t>
  </si>
  <si>
    <t xml:space="preserve"> - ค่าอินเตอร์เน็ต</t>
  </si>
  <si>
    <t xml:space="preserve"> - ค่าบริการเน็ตแม่ข่าย IT</t>
  </si>
  <si>
    <t>ศขส.รับผิดชอบ</t>
  </si>
  <si>
    <t xml:space="preserve"> - ค่าจ้างบำรุงรักษาคอมฯ</t>
  </si>
  <si>
    <t xml:space="preserve"> - ค่าเช่าเครื่องสแกนใบหน้า</t>
  </si>
  <si>
    <t xml:space="preserve"> - ค่าจ้างเช่าใช้บริการใบรับรองอิเล็กทรอนิกส์ฯ</t>
  </si>
  <si>
    <t xml:space="preserve"> - ค่าเช่าใช้บริการลิขสิทธิ์ซอฟต์แวร์สำหรับประชุมทางไกล</t>
  </si>
  <si>
    <t xml:space="preserve"> - การต่ออายุลิขสิทธิ์ซอฟต์แวร์ของ อย (สำหรับ Firewall และ ebXML)</t>
  </si>
  <si>
    <t>กยผ.รับผิดชอบ</t>
  </si>
  <si>
    <t xml:space="preserve"> - ค่าตรวจวิเคราะห์</t>
  </si>
  <si>
    <t>รายงานรวมกอง</t>
  </si>
  <si>
    <t>ตสน</t>
  </si>
  <si>
    <t>กพร</t>
  </si>
  <si>
    <t>ค่าเช่าบ้าน</t>
  </si>
  <si>
    <t>รวม แผน 2 ผล1</t>
  </si>
  <si>
    <t xml:space="preserve">  - ค่าเช่าบ้าน-อย</t>
  </si>
  <si>
    <t xml:space="preserve">  - ค่าเช่าบ้าน-กองยา</t>
  </si>
  <si>
    <t xml:space="preserve">  - ค่าเช่าบ้าน-กองอาหาร</t>
  </si>
  <si>
    <t xml:space="preserve">  - ค่าเช่าบ้าน-กลุ่ม ส</t>
  </si>
  <si>
    <t xml:space="preserve">  - ค่าเช่าบ้าน-กลุ่ม วอ</t>
  </si>
  <si>
    <t xml:space="preserve">  - ค่าเช่าบ้าน-กอง ต</t>
  </si>
  <si>
    <t xml:space="preserve">  - ค่าเช่าบ้าน-กอง พ</t>
  </si>
  <si>
    <t xml:space="preserve">  - ค่าเช่าบ้าน-กองด่าน</t>
  </si>
  <si>
    <t xml:space="preserve">  - ค่าเช่าบ้าน-กยผ</t>
  </si>
  <si>
    <t xml:space="preserve">  - ค่าเช่าบ้าน-สมพ</t>
  </si>
  <si>
    <t xml:space="preserve">  - ค่าเช่าบ้าน-นบย</t>
  </si>
  <si>
    <t xml:space="preserve">  - ค่าเช่าบ้าน-ศรป</t>
  </si>
  <si>
    <t xml:space="preserve">  - ค่าเช่าบ้าน-กม.อย</t>
  </si>
  <si>
    <t>ค่าตอบแทน พ.ต.ส.</t>
  </si>
  <si>
    <t xml:space="preserve">  - งบปกติ</t>
  </si>
  <si>
    <t xml:space="preserve">  - งบกลาง</t>
  </si>
  <si>
    <t>สล</t>
  </si>
  <si>
    <t>กยผ</t>
  </si>
  <si>
    <t>ศขส</t>
  </si>
  <si>
    <t>กม.อย</t>
  </si>
  <si>
    <t>กอง พ</t>
  </si>
  <si>
    <t>กองยา</t>
  </si>
  <si>
    <t>กอง ต</t>
  </si>
  <si>
    <t>กองอาหาร</t>
  </si>
  <si>
    <t>กองด่าน</t>
  </si>
  <si>
    <t>กอง คบ</t>
  </si>
  <si>
    <t>กลุ่ม ส</t>
  </si>
  <si>
    <t>กลุ่ม วอ</t>
  </si>
  <si>
    <t>ศรป</t>
  </si>
  <si>
    <t>สมพ</t>
  </si>
  <si>
    <t>สนบ</t>
  </si>
  <si>
    <t>นบย</t>
  </si>
  <si>
    <t>กปท</t>
  </si>
  <si>
    <t>งบส่วนกลาง (ท่านเลขา)</t>
  </si>
  <si>
    <t>รวม แผน 3 ผล1</t>
  </si>
  <si>
    <t>รวม แผน 4 ผล1</t>
  </si>
  <si>
    <t>รวม แผน 2 ผล 2</t>
  </si>
  <si>
    <t>กอง พศ</t>
  </si>
  <si>
    <t>โอนเงินงบกลาง</t>
  </si>
  <si>
    <t>โอนเงินข้ามกอง</t>
  </si>
  <si>
    <t>โอนเบิกแทน</t>
  </si>
  <si>
    <t>โอนเปลี่ยนแปลงงปม.</t>
  </si>
  <si>
    <t>พรบ หลังโอน</t>
  </si>
  <si>
    <t>งวด หลังโอน</t>
  </si>
  <si>
    <t>สำนักงานเลขานุการกรม</t>
  </si>
  <si>
    <t>ที่</t>
  </si>
  <si>
    <t>ฝ่าย</t>
  </si>
  <si>
    <t>ฝ่ายการคลัง</t>
  </si>
  <si>
    <t>ฝ่ายบริหารทั่วไป</t>
  </si>
  <si>
    <t>ฝ่ายพัสดุ</t>
  </si>
  <si>
    <t>ฝ่ายช่วยฯ</t>
  </si>
  <si>
    <t>ฝ่ายการเจ้าหน้าที่</t>
  </si>
  <si>
    <t xml:space="preserve">ส่วนกลาง สล </t>
  </si>
  <si>
    <t xml:space="preserve"> - ค่าเช่าเครื่องถ่ายเอกสาร</t>
  </si>
  <si>
    <t xml:space="preserve"> - ค่าเช่าสถานที่เก็บเอกสาร</t>
  </si>
  <si>
    <t xml:space="preserve"> - นโยบาย ผอ</t>
  </si>
  <si>
    <t xml:space="preserve"> - งบกลาง สล</t>
  </si>
  <si>
    <t>งบประมาณตาม
พรบ.</t>
  </si>
  <si>
    <t>จำนวนเงิน</t>
  </si>
  <si>
    <t>เงินประจำงวด</t>
  </si>
  <si>
    <t>รวมใช้จ่าย</t>
  </si>
  <si>
    <t xml:space="preserve"> - ค่าจ้างลูกจ้าง</t>
  </si>
  <si>
    <t xml:space="preserve"> - OT</t>
  </si>
  <si>
    <t>%</t>
  </si>
  <si>
    <t xml:space="preserve"> - ค่าเช่ารถยนต์ 1.1(3 คัน)</t>
  </si>
  <si>
    <t xml:space="preserve"> - ค่าเช่ารถยนต์ 1.3(1 คัน)</t>
  </si>
  <si>
    <t>เบิกจ่าย</t>
  </si>
  <si>
    <t>คงเหลือเงินประจำงวด</t>
  </si>
  <si>
    <t>คงเหลือตาม พรบ</t>
  </si>
  <si>
    <t>หมวดรายจ่าย</t>
  </si>
  <si>
    <t>เงินประจำงวด
ที่ 1</t>
  </si>
  <si>
    <t>แผน 1 ผลผลิต 1</t>
  </si>
  <si>
    <t>งบบุคลากร</t>
  </si>
  <si>
    <t>งบดำเนินงาน</t>
  </si>
  <si>
    <t>รวม</t>
  </si>
  <si>
    <t>แผน 2 ผลผลิต 1</t>
  </si>
  <si>
    <t>งบลงทุน</t>
  </si>
  <si>
    <t>งบรายจ่ายอื่น</t>
  </si>
  <si>
    <t>แผน 2 ผลผลิต 2</t>
  </si>
  <si>
    <t>รวมแผน 2</t>
  </si>
  <si>
    <t>รวมแผน 2 ทั้งสิ้น</t>
  </si>
  <si>
    <t>แผน 3 ผลผลิต 1</t>
  </si>
  <si>
    <t>แผน 4 ผลผลิต 1</t>
  </si>
  <si>
    <t xml:space="preserve">รวมทั้งสิ้น </t>
  </si>
  <si>
    <t>1.  งบประมาณภาพรวม</t>
  </si>
  <si>
    <t>2.  งบประมาณส่วนกลาง</t>
  </si>
  <si>
    <t>1.  เป้าหมาย อย.</t>
  </si>
  <si>
    <t xml:space="preserve">ไตรมาสที่  </t>
  </si>
  <si>
    <t>เป้าหมายการเบิกจ่ายรายจ่ายงบลงทุนสะสม (เฉพาะครุภัณฑ์จัดซื้อ)
  ณ  สิ้นไตรมาส  (%)
(เป้าหมาย อย.)</t>
  </si>
  <si>
    <t>เป้าหมายการเบิกจ่ายรายจ่ายภาพรวมสะสมเทียบกับวงเงินประจำงวด 1
  ณ  สิ้นไตรมาส  (%)
(เป้าหมาย อย.)</t>
  </si>
  <si>
    <t>งบประมาณงบลงทุน 
(เฉพาะครุภัณฑ์จัดซื้อ)</t>
  </si>
  <si>
    <t>ผลเบิกจ่ายงบลงทุน
(เฉพาะครุภัณฑ์จัดซื้อ)</t>
  </si>
  <si>
    <t>งบประมาณภาพรวม
(รับจัดสรรงวดที่ 1)</t>
  </si>
  <si>
    <t>ผลการเบิกจ่ายภาพรวม</t>
  </si>
  <si>
    <t>ผลต่างกับเป้าหมายงบลงทุน(%)</t>
  </si>
  <si>
    <t>ผลต่างกับเป้าหมายภาพรวม อย. (%)</t>
  </si>
  <si>
    <t>สรปุผลการใช้จ่ายเงินงบประมาณรายจ่าย  ประจำปีงบประมาณ  พ.ศ.  2566</t>
  </si>
  <si>
    <t>ผลการใช้จ่ายเงินงบประมาณ    ปีงบประมาณ พ.ศ.2566 งบดำเนินงาน</t>
  </si>
  <si>
    <t>เปรียบเทียบกับเป้าหมาย อย. และมติ ครม.</t>
  </si>
  <si>
    <t xml:space="preserve">งบประมาณงบลงทุน 
</t>
  </si>
  <si>
    <t xml:space="preserve">ผลเบิกจ่ายงบลงทุน
</t>
  </si>
  <si>
    <t xml:space="preserve">งบประมาณภาพรวม
</t>
  </si>
  <si>
    <t>ผลต่างกับเป้าหมายงบลงทุน อย.(%)</t>
  </si>
  <si>
    <t xml:space="preserve">ผลใช้จ่ายงบลงทุน
</t>
  </si>
  <si>
    <t>ผลการใช้จ่าย
ภาพรวม</t>
  </si>
  <si>
    <t xml:space="preserve">ผลการใช้จ่ายเงินงบประมาณ    ปีงบประมาณ พ.ศ.2566 </t>
  </si>
  <si>
    <t>หน่วยงาน</t>
  </si>
  <si>
    <t>แผนงาน 1 ผลผลิต 1</t>
  </si>
  <si>
    <t xml:space="preserve"> - จ้างดูแลสนามหญ้า</t>
  </si>
  <si>
    <t xml:space="preserve"> - จ้างดูแลทำความสะอาดพื้น</t>
  </si>
  <si>
    <t xml:space="preserve"> - ค่าจ้างดูแลเครื่องปรับอากาศ</t>
  </si>
  <si>
    <t xml:space="preserve"> - ค่าจ้างดูแลลิฟท์ อ1-5</t>
  </si>
  <si>
    <t xml:space="preserve"> - ค่าจ้างดูแลลิฟท์ อ6</t>
  </si>
  <si>
    <t xml:space="preserve"> - ค่าจ้างดูแลรักษาปั้มน้ำ </t>
  </si>
  <si>
    <t xml:space="preserve"> - ค่าจ้างดูแลระบบสัญญาณเตือนเพลิงไหม้</t>
  </si>
  <si>
    <t xml:space="preserve"> - ค่าจ้างดูแลบำรุงรักษาตู้สาขาอัตโนมัติ</t>
  </si>
  <si>
    <t xml:space="preserve"> - ค่าจ้างดูแลกำจัดปลวก </t>
  </si>
  <si>
    <t xml:space="preserve"> - ค่าใช้บริการกระดาษเช็ดมือ</t>
  </si>
  <si>
    <t>แผนงาน 2 ผลผลิต 1</t>
  </si>
  <si>
    <t>แผนงาน 4 ผลผลิต 1</t>
  </si>
  <si>
    <t>แผนงาน 3 ผลผลิต 1</t>
  </si>
  <si>
    <t>แผนงาน 2 ผลผลิต 2</t>
  </si>
  <si>
    <t>รวม แผนงาน 1 ผลผลิต 1</t>
  </si>
  <si>
    <t>รวม แผนงาน 4 ผลผลิต 1</t>
  </si>
  <si>
    <t>รวม แผนงาน 3 ผลผลิต 1</t>
  </si>
  <si>
    <t>รวม แผนงาน 2 ผลผลิต 2</t>
  </si>
  <si>
    <t>รวม แผนงาน 2 ผลผลิต 1</t>
  </si>
  <si>
    <t>8. ค่าสาธารณูปโภค</t>
  </si>
  <si>
    <t>สำนักงานคณะกรรมการอาหารและยา</t>
  </si>
  <si>
    <t>รายละเอียดงบรายจ่ายอื่น ค่าใช้จ่ายในการควบคุมตัวยา เคมีภัณฑ์และสารตั้งต้นที่เป็นวัตถุเสพติด ปีงบประมาณ พ.ศ. 2566</t>
  </si>
  <si>
    <t>(1)</t>
  </si>
  <si>
    <t>(2)</t>
  </si>
  <si>
    <t>(3)</t>
  </si>
  <si>
    <t>(4)</t>
  </si>
  <si>
    <t>(5)</t>
  </si>
  <si>
    <t>(6)</t>
  </si>
  <si>
    <t>(7=3+4+5+6)</t>
  </si>
  <si>
    <t>(8=2-7)</t>
  </si>
  <si>
    <t>(9=1-7)</t>
  </si>
  <si>
    <t>กอง สว</t>
  </si>
  <si>
    <t>รายงานการใช้จ่ายเงินงบลงทุนที่ได้รับตาม พรบ. ปีงบประมาณ พ.ศ.2566</t>
  </si>
  <si>
    <t>ลำดับ</t>
  </si>
  <si>
    <t>งบประมาณ
ตาม พรบ</t>
  </si>
  <si>
    <t xml:space="preserve">โอนเปลี่ยนแปลง </t>
  </si>
  <si>
    <t>งบประมาณ
ตาม พรบ คงเหลือ</t>
  </si>
  <si>
    <t>คงเหลือ</t>
  </si>
  <si>
    <t xml:space="preserve">แผนงานที่ 2 ผลผลิตที่ 1 </t>
  </si>
  <si>
    <t>รายการครุภัณฑ์เฉพาะจัดซื้อ</t>
  </si>
  <si>
    <t xml:space="preserve">1. พัดลมดูดอากาศ </t>
  </si>
  <si>
    <t xml:space="preserve">1. พัดลมตั้งพื้น ขนาด 16 นิ้ว </t>
  </si>
  <si>
    <t xml:space="preserve">2. พัดลมตั้งพื้น ขนาด 18 นิ้ว </t>
  </si>
  <si>
    <t xml:space="preserve">3. เครื่องเจาะกระดาษและเข้าเล่ม แบบเจาะกระดาษไฟฟ้าและเข้าเล่มมือโยก </t>
  </si>
  <si>
    <t xml:space="preserve">4. พัดลมตั้งพื้น ขนาด 16 นิ้ว </t>
  </si>
  <si>
    <t xml:space="preserve">5. พัดลมตั้งพื้น ขนาด 18 นิ้ว </t>
  </si>
  <si>
    <t xml:space="preserve">6. โต๊ะคอมพิวเตอร์ </t>
  </si>
  <si>
    <t xml:space="preserve">7. เครื่องฟอกอากาศ แบบฝังใต้เพดาน หรือ แบบติดผนังหรือ แบบเคลื่อนย้าย ขนาดความเร็วของแรงลมปรับระดับสูง 500 ซีเอฟเอ็ม </t>
  </si>
  <si>
    <t xml:space="preserve">8. เครื่องฟอกอากาศ แบบฝังใต้เพดาน หรือ แบบติดผนังหรือ แบบเคลื่อนย้าย ขนาดความเร็วของแรงลมปรับระดับสูง 1,000 ซีเอฟเอ็ม </t>
  </si>
  <si>
    <t xml:space="preserve">9. เครื่องปรับอากาศ แบบแยกส่วน แบบตั้งพื้นหรือแบบแขวน (ระบบ Inverter) ขนาด 13,000 บีทียู </t>
  </si>
  <si>
    <t xml:space="preserve">1. พัดลมแบบทาวเวอร์ </t>
  </si>
  <si>
    <t xml:space="preserve">2. ลำโพงพร้อมเครื่องขยายเสียง </t>
  </si>
  <si>
    <t xml:space="preserve">1. โทรศัพท์ไร้สาย </t>
  </si>
  <si>
    <t xml:space="preserve">2. โทรศัพท์ตั้งโต๊ะ </t>
  </si>
  <si>
    <t xml:space="preserve">3. โทรทัศน์ แอล อี ดี (LED TV) แบบ Smart TV ระดับความละเอียดจอภาพ 3840 x 2160 พิกเซล ขนาด 65 นิ้ว </t>
  </si>
  <si>
    <t xml:space="preserve">4. เครื่องทำลายเอกสาร แบบตัดตรง ทำลายครั้งละ 20 แผ่น </t>
  </si>
  <si>
    <t xml:space="preserve">5. โทรศัพท์ไร้สาย </t>
  </si>
  <si>
    <t xml:space="preserve">6. โทรศัพท์ตั้งโต๊ะ </t>
  </si>
  <si>
    <t xml:space="preserve">1. เครื่องปรับอากาศ แบบแยกส่วน ชนิดตั้งพื้นหรือชนิดแขวน ขนาด 44,000 บีทียู </t>
  </si>
  <si>
    <t xml:space="preserve">2. เครื่องปรับอากาศ แบบแยกส่วน ชนิดตั้งพื้นหรือชนิดแขวน ขนาด 48,000 บีทียู </t>
  </si>
  <si>
    <t xml:space="preserve">3. เครื่องปรับอากาศ แบบแยกส่วน แบบตั้งพื้นหรือแบบแขวน ขนาด 13,000 บีทียู </t>
  </si>
  <si>
    <t xml:space="preserve">4. เครื่องปรับอากาศ แบบแยกส่วน แบบตั้งพื้นหรือแบบแขวน ขนาด 26,000 บีทียู </t>
  </si>
  <si>
    <t xml:space="preserve">5. เครื่องปรับอากาศ แบบแยกส่วน แบบตั้งพื้นหรือแบบแขวน ขนาด 30,000 บีทียู </t>
  </si>
  <si>
    <t xml:space="preserve">6. โต๊ะทำงาน </t>
  </si>
  <si>
    <t xml:space="preserve">7. โพเดียม </t>
  </si>
  <si>
    <t xml:space="preserve">8. เครื่องทำน้ำร้อน-น้ำเย็น แบบต่อท่อ ขนาด 2 ก๊อก </t>
  </si>
  <si>
    <t xml:space="preserve">9. เครื่องปรับอากาศ แบบแยกส่วน แบบตั้งพื้นหรือแบบแขวน (ระบบ Inverter) ขนาด 18,000 บีทียู </t>
  </si>
  <si>
    <t xml:space="preserve">10. เครื่องปรับอากาศ แบบแยกส่วน แบบตั้งพื้นหรือแบบแขวน ขนาด 20,000 บีทียู </t>
  </si>
  <si>
    <t xml:space="preserve">11. เครื่องปรับอากาศ แบบแยกส่วน แบบตั้งพื้นหรือแบบแขวน (ระบบ Inverter) ขนาด 24,000 บีทียู </t>
  </si>
  <si>
    <t xml:space="preserve">12. เครื่องปรับอากาศ แบบแยกส่วน แบบตั้งพื้นหรือแบบแขวน ขนาด 32,000 บีทียู </t>
  </si>
  <si>
    <t xml:space="preserve">13. เครื่องปรับอากาศ แบบแยกส่วน แบบตั้งพื้นหรือแบบแขวน (ระบบ Inverter) ขนาด 36,000 บีทียู </t>
  </si>
  <si>
    <t xml:space="preserve">14. เครื่องปรับอากาศ แบบแยกส่วน แบบตั้งพื้นหรือแบบแขวน ขนาด 40,000 บีทียู </t>
  </si>
  <si>
    <t xml:space="preserve">15. โต๊ะทำงาน </t>
  </si>
  <si>
    <t xml:space="preserve">1. เก้าอี้ทำงาน </t>
  </si>
  <si>
    <t xml:space="preserve">2. ตู้เก็บเอกสารเหล็กบานเปิดสูง </t>
  </si>
  <si>
    <t xml:space="preserve">3 .เครื่องมัลติมีเดียโปรเจคเตอร์ ระดับ XGA ขนาด 4,500 ANSI Lumens </t>
  </si>
  <si>
    <t xml:space="preserve">4. ชุดประชุมทางไกล </t>
  </si>
  <si>
    <t xml:space="preserve">5. เก้าอี้ทำงาน </t>
  </si>
  <si>
    <t xml:space="preserve">1. เครื่องมัลติมีเดียโปรเจคเตอร์ ระดับ XGA ขนาด 4,000 ANSI Lumens </t>
  </si>
  <si>
    <t>กอง ด่าน</t>
  </si>
  <si>
    <t xml:space="preserve">1. โต๊ะพับเอนกประสงค์ </t>
  </si>
  <si>
    <t xml:space="preserve">2. โต๊ะทำงานมีคีย์บอร์ด </t>
  </si>
  <si>
    <t xml:space="preserve">3. ตู้เย็น ขนาด 13 คิวบิกฟุต </t>
  </si>
  <si>
    <t xml:space="preserve">4. เครื่องชั่งน้ำหนักแบบดิจิตอล 2 ตำแหน่ง </t>
  </si>
  <si>
    <t xml:space="preserve">5. โต๊ะปฎิบัติการพร้อมอ่างล้าง </t>
  </si>
  <si>
    <t>6. เครื่องรามัน (อย, ด่านอาหารและยาท่าเรือแหลมฉบัง)</t>
  </si>
  <si>
    <t>กอง สว (กลุ่ม วอ)</t>
  </si>
  <si>
    <t xml:space="preserve">1. ตู้ไม้ บานเลื่อนทึบ 4 ประตู </t>
  </si>
  <si>
    <t xml:space="preserve">2. เครื่องมัลติมีเดียโปรเจคเตอร์ ระดับ XGA ขนาด 4,500 ANSI Lumens </t>
  </si>
  <si>
    <t xml:space="preserve">3. เครื่องฉายภาพ 3 มิติ </t>
  </si>
  <si>
    <t xml:space="preserve">1. โต๊ะประชุม </t>
  </si>
  <si>
    <t>รายการครุภัณฑ์เฉพาะจัดจ้าง ที่ดินและสิ่งก่อสร้าง</t>
  </si>
  <si>
    <t xml:space="preserve">1.พัฒนาระบบฐานข้อมูลผู้ควบคุม การผลิตอาหารตามหลักเกณฑ์ GMP ฉบับใหม่ </t>
  </si>
  <si>
    <t xml:space="preserve">1. เครื่องคอมพิวเตอร์โน้ตบุ้ก สำหรับงานประมวลผล </t>
  </si>
  <si>
    <t>2. ชุดโปรแกรมระบบปฏิบัติการสำหรับเครื่องคอมพิวเตอร์ และเครื่องคอมพิวเตอร์โน้ตบุ้ค แบบสิทธิการใช้งานประเภทติดตั้งมาจากโรงงาน (OEM) ที่มีลิขสิทธิ์ถูกต้องตามกฎหมาย</t>
  </si>
  <si>
    <t>3. ชุดโปรแกรมจัดการสำนักงาน ที่มีลิขสิทธิ์ถูกต้องตามกฎหมาย</t>
  </si>
  <si>
    <t xml:space="preserve">4. เครื่องคอมพิวเตอร์ สำหรับงานประมวลผลแบบที่ 1 (จอแสดงภาพขนาดไม่น้อยกว่า 19 นิ้ว) </t>
  </si>
  <si>
    <t xml:space="preserve">5. เครื่องสำรองไฟฟ้า ขนาด 800 VA </t>
  </si>
  <si>
    <t>6. สแกนเนอร์ สำหรับงานเก็บเอกสารระดับศูนย์บริการ แบบที่ 1</t>
  </si>
  <si>
    <t xml:space="preserve">7. เครื่องพิมพ์ชนิดพกพา </t>
  </si>
  <si>
    <t xml:space="preserve">8. อุปกรณ์จัดเก็บข้อมูลสำหรับงานกราฟิก </t>
  </si>
  <si>
    <t xml:space="preserve">9. จอแสดงภาพขนาดไม่น้อยกว่า 21.5 นิ้ว </t>
  </si>
  <si>
    <t xml:space="preserve">10. ปรับปรุง Data Center ของสำนักงานคณะกรรมการอาหารและยา </t>
  </si>
  <si>
    <t xml:space="preserve">11. พัฒนาระบบโทรศัพท์ดิจิทัล (IP Phone) </t>
  </si>
  <si>
    <t xml:space="preserve">12. ปรับปรุงระบบเครือข่ายคอมพิวเตอร์เพื่อเพิ่มประสิทธิภาพการปฏิบัติงานการพิจารณาอนุญาตผลิตภัณฑ์สุขภาพ </t>
  </si>
  <si>
    <t>13. จัดหาระบบเครือข่ายคอมพิวเตอร์ สำหรับอาคารศูนย์บริการผลิตภัณฑ์สุขภาพเบ็ดเสร็จ</t>
  </si>
  <si>
    <t xml:space="preserve">14. พัฒนาระบบรักษาความปลอดภัยของสำนักงานคณะกรรมการอาหารและยา </t>
  </si>
  <si>
    <t>1. พัฒนาระบบการกำกับดูแลผลิตภัณฑ์สุขภาพหลังออกสู่ตลาดของสำนักงาน</t>
  </si>
  <si>
    <t>สำนักงานคณะกรรมการอาหารและยา (สล.)</t>
  </si>
  <si>
    <t>1. ปรับปรุงทาสีอาคารสำนักงานคณะกรรมการอาหารและยา</t>
  </si>
  <si>
    <t>รวมแผนงานที่ 2 ผลผลิตที่ 1</t>
  </si>
  <si>
    <t xml:space="preserve">แผนงานที่ 2 ผลผลิตที่ 2 </t>
  </si>
  <si>
    <t>กองพัฒนาศักยภาพผู้บริโภค</t>
  </si>
  <si>
    <t xml:space="preserve">1. เครื่องปรับอากาศ แบบแยกส่วน แบบตั้งพื้นหรือแบบแขวน ขนาด 24,000 บีทียู </t>
  </si>
  <si>
    <t xml:space="preserve">2. เครื่องปรับอากาศ แบบแยกส่วน แบบตั้งพื้นหรือแบบแขวน ขนาด 36,000 บีทียู </t>
  </si>
  <si>
    <t xml:space="preserve">3. โต๊ะทำงาน </t>
  </si>
  <si>
    <t xml:space="preserve">4. เก้าอี้ทำงาน </t>
  </si>
  <si>
    <t xml:space="preserve">5. อากาศยานไร้คนขับสำหรับติดตั้งกล้องบันทึกวีดีโอ (โดรน) พร้อมอุปกรณ์ </t>
  </si>
  <si>
    <t xml:space="preserve">6. กล้องถ่ายภาพนิ่งแบบ DSLR ที่สามารถถ่ายได้ทั้งภาพนิ่ง และ วีดีโอพร้อมอุปกรณ์ </t>
  </si>
  <si>
    <t xml:space="preserve">7. กล้องบันทึกวีดีโอ ที่มีความละเอียด 4k พร้อมอุปกรณ์ </t>
  </si>
  <si>
    <t xml:space="preserve">8. ชุดถ่ายสตูดิโอ พร้อมอุปกรณ์ </t>
  </si>
  <si>
    <t xml:space="preserve">9. ชุดเครื่องบันทึกเสียง สำหรับผลิตสื่อมัลติมีเดียพร้อมอุปกรณ์ </t>
  </si>
  <si>
    <t xml:space="preserve">10. ชุดประชุมทางไกลผ่านจอภาพVideo Conference </t>
  </si>
  <si>
    <t xml:space="preserve">11. อุปกรณ์ระบบเสียงตามสาย </t>
  </si>
  <si>
    <t>รวมแผนงานที่ 2 ผลผลิตที่ 2</t>
  </si>
  <si>
    <t xml:space="preserve">แผนงานที่ 3 ผลผลิตที่ 1 </t>
  </si>
  <si>
    <t xml:space="preserve">1. งานติดตั้งระบบโสตทัศนูปกรณ์ พร้อมระบบเครือข่ายห้องประชุมและสิ่งอำนวยความสะดวกสำหรับงานบริการ ของอาคารศูนย์บริการผลิตภัณฑ์สุขภาพเบ็ดเสร็จ </t>
  </si>
  <si>
    <t>รวมแผนงานที่ 3 ผลผลิตที่ 1</t>
  </si>
  <si>
    <t xml:space="preserve">แผนงานที่ 4 ผลผลิตที่ 1 </t>
  </si>
  <si>
    <t>กองควบคุมวัตถุเสพติด</t>
  </si>
  <si>
    <t xml:space="preserve">1. ระบบระบายอากาศห้องตรวจรับและห้องเก็บรักษายาเสพติดของกลาง </t>
  </si>
  <si>
    <t xml:space="preserve">2. พัฒนาระบบสารสนเทศเพื่อควบคุมการนำเข้าและการใช้ยาเสพติดให้โทษในประเภท 4 </t>
  </si>
  <si>
    <t>รวมแผนงานที่ 4 ผลผลิตที่ 1</t>
  </si>
  <si>
    <t>(8=4+5+6+7)</t>
  </si>
  <si>
    <t>(9=3-8)</t>
  </si>
  <si>
    <t>(7)</t>
  </si>
  <si>
    <t>ส่วนกลาง อย. (สล.)</t>
  </si>
  <si>
    <t>สรุปผลการใช้จ่ายเงินงบประมาณ ประจำปีงบประมาณ พ.ศ. 2566 (รวมทุกงบ)</t>
  </si>
  <si>
    <t>1. งบดำเนินงาน</t>
  </si>
  <si>
    <t>2. งบลงทุน</t>
  </si>
  <si>
    <t>3. งบรายจ่ายอื่น</t>
  </si>
  <si>
    <t>ขอยืมเงิน</t>
  </si>
  <si>
    <t>ขอเบิก</t>
  </si>
  <si>
    <t>ภาพรวม อย</t>
  </si>
  <si>
    <t xml:space="preserve"> - กลุ่ม ส</t>
  </si>
  <si>
    <t xml:space="preserve"> - กลุ่ม วอ</t>
  </si>
  <si>
    <t>รายการ</t>
  </si>
  <si>
    <t>คงเหลือ
เงินประจำงวด</t>
  </si>
  <si>
    <t>คงเหลือ
ตาม พรบ</t>
  </si>
  <si>
    <t>(7=2-6)</t>
  </si>
  <si>
    <t>(6=3+4+5)</t>
  </si>
  <si>
    <t>(8=1-6)</t>
  </si>
  <si>
    <t>หมวดที่ 1 งานตามข้อตกลงระหว่างประเทศ</t>
  </si>
  <si>
    <t>ASEAN Consultative Committee on Standard and Quality (ACCSQ) ครั้งที่ 58</t>
  </si>
  <si>
    <t>Pharmaceutical Product Working Group (PPWG)</t>
  </si>
  <si>
    <t>Codex committee on Residues of Veterinary Drugs in Food (CCRVDF ครั้งที่ 26)</t>
  </si>
  <si>
    <t xml:space="preserve">การประชุม Joint Sectoral Committee (JSC) of ASEAN MRA on GMP inspection of Manufacturers of Medicinal Products </t>
  </si>
  <si>
    <t>การประชุม Technical Working Group on Biologics ภายใต้ ACCSQ/PPWG ครั้งที่ 11</t>
  </si>
  <si>
    <t xml:space="preserve">การประชุม Meeting of Joint Assessment Coordinating Group (JACG) </t>
  </si>
  <si>
    <t>Traditional Medicines and Health Supplements Product Working Group – TMHS PWG</t>
  </si>
  <si>
    <t xml:space="preserve">การประชุม ASEAN TMHS Scientific Committee (ATSC) </t>
  </si>
  <si>
    <t xml:space="preserve"> </t>
  </si>
  <si>
    <t>TMHS GMP Task Force Meeting  /Training on the ASEAN Guildelines on GMP for TMHS</t>
  </si>
  <si>
    <t>The ASEAN Medical Device Committee (AMDC) ครั้งที่ 12</t>
  </si>
  <si>
    <t>การประชุม ASEAN Cosmetic Committee (ACC) 
ครั้งที่ 37</t>
  </si>
  <si>
    <t>การประชุม ASEAN Cosmetic Scientitic Body meeting (ACSB)  ครั้งที่ 37</t>
  </si>
  <si>
    <t xml:space="preserve">Cluster 4 Ensuring Food Safety Meeting ครั้งที่ 7
</t>
  </si>
  <si>
    <t>การประชุมเจ้าหน้าที่อาวุโสอาเซียน ด้านยาเสพติด (ASEAN Senior Official on Drugs Matters-ASOD)</t>
  </si>
  <si>
    <t>Codex Alimentarius Commission (CAC) ครั้งที่ 44</t>
  </si>
  <si>
    <t>Codex Committee on Food Import and Export Inspection and Certification Systems (CCFICS) และการประชุม Working group ที่เกี่ยวข้อง</t>
  </si>
  <si>
    <t>Indonesia-Malaysia-Thailand Growth Triangle (IMT-GT) Working Group on Trade and Investment (WGTI) และ Customs, Immigration and Quarantine Sub Working Group (CIQ SWG)</t>
  </si>
  <si>
    <t>International Conference on Harmonization-Global Cooperation Group (ICH-GCG) on  Pharmaceuticals</t>
  </si>
  <si>
    <t>ประชุมเจรจาเกี่ยวกับกฎระเบียบด้านผลิตภัณฑ์สุขภาพ และการนำเข้า-ส่งออก ผลิตภัณฑ์สุขภาพ  กับประเทศคู่เจรจา
และการค้าเสรี</t>
  </si>
  <si>
    <t>ประชุมเจรจาเกี่ยวกับกฎระเบียบและความร่วมมือด้านผลิตภัณฑ์สุขภาพกับประเทศเพื่อนบ้าน อาเซียน และเอเชีย</t>
  </si>
  <si>
    <t>ประชุมเพื่อหารือเกี่ยวกับความตกลง ภายใต้องค์การ
การค้าโลก (WTO)</t>
  </si>
  <si>
    <t>หมวดที่ 2 งานความร่วมมือตามข้อตกลงระหว่างประเทศ</t>
  </si>
  <si>
    <t xml:space="preserve">1. พหุภาคี </t>
  </si>
  <si>
    <t>APEC-Life Science Innovation Forum-Regulatory Harmonization Steering Committee (APEC LSIF-RHSC)</t>
  </si>
  <si>
    <t>APEC Senior Officials' Meeting (APEC SOM)</t>
  </si>
  <si>
    <t>Asia-Pacific Economic Cooperation: Chemical Dialogue 2023</t>
  </si>
  <si>
    <t>PMDA-ATC Quality Control (Herbal Medicine) 
Seminar</t>
  </si>
  <si>
    <t>2. ทวิภาคี</t>
  </si>
  <si>
    <t>ประชุมหารือจัดทำ MOU และติดตามความก้าวหน้า
ความร่วมมือระหว่างประเทศ</t>
  </si>
  <si>
    <t>3. ออสเตรเลีย</t>
  </si>
  <si>
    <t>-</t>
  </si>
  <si>
    <t>4. Regulatory Forum</t>
  </si>
  <si>
    <t>The International Medical Device Regulators Forum (IMDRF)</t>
  </si>
  <si>
    <t>หมวดที่ 3 งานเชิงนโยบายและสมาชิกองค์กรระหว่างประเทศ</t>
  </si>
  <si>
    <t>1.  Pharmacovigilance Center</t>
  </si>
  <si>
    <t>2. SAICM/IFCS</t>
  </si>
  <si>
    <t>The Fifth Minister Regional Forum on Environment and Health in Southeast Asia and East Asian Countries</t>
  </si>
  <si>
    <t>3. PIC/S</t>
  </si>
  <si>
    <t>PIC/S Committee and Seminar</t>
  </si>
  <si>
    <t>PIC/S Training Course</t>
  </si>
  <si>
    <t>4.  ISO</t>
  </si>
  <si>
    <t>การประชุม  ISO/TC 217 Cosmetic</t>
  </si>
  <si>
    <t>5. WHO</t>
  </si>
  <si>
    <t>The Annual Meeting of Representatives of the National Centers participating in the WHO Programme for International Drug Monitoring</t>
  </si>
  <si>
    <t>International Society of Pharmacovigilance Conference (ISoP)</t>
  </si>
  <si>
    <t>The South-East Asia Region of the World Health Organization (SEARN)</t>
  </si>
  <si>
    <t>การประชุม World Health Assembly/  และการประชุมภายใต้กรอบ WHO</t>
  </si>
  <si>
    <t xml:space="preserve">International Conference of Drug Regulatory Authorities (ICDRA) </t>
  </si>
  <si>
    <t>WHO-International Regulatory Cooperation for
 Herbal Medicines (IRCH)</t>
  </si>
  <si>
    <t>6. UN</t>
  </si>
  <si>
    <t>การประชุมคณะกรรมาธิการยาเสพติดแห่งสหประชาชาติ (The Commission  on Narcotic Drugs: CND)</t>
  </si>
  <si>
    <t>7. others</t>
  </si>
  <si>
    <t>Helsinki Chemical Forum</t>
  </si>
  <si>
    <t>กปท.</t>
  </si>
  <si>
    <t>ย.</t>
  </si>
  <si>
    <t>อ.</t>
  </si>
  <si>
    <t>สมพ.</t>
  </si>
  <si>
    <t>พ.</t>
  </si>
  <si>
    <t>กยผ.ฝ3</t>
  </si>
  <si>
    <t>ส.</t>
  </si>
  <si>
    <t>ต.</t>
  </si>
  <si>
    <t>ด่าน</t>
  </si>
  <si>
    <t>ภาพรวม</t>
  </si>
  <si>
    <t xml:space="preserve">ย. </t>
  </si>
  <si>
    <t xml:space="preserve">กยผ.IPCS </t>
  </si>
  <si>
    <t>วอ.</t>
  </si>
  <si>
    <t>ตาม พรบ</t>
  </si>
  <si>
    <t>GFMIS</t>
  </si>
  <si>
    <t>ทะเบียนคุม</t>
  </si>
  <si>
    <t>ผลต่าง</t>
  </si>
  <si>
    <t>1. ค่าจ้างบำรุงรักษาคอมฯ</t>
  </si>
  <si>
    <t>2. ค่าเช่าเครื่องสแกนใบหน้า</t>
  </si>
  <si>
    <t>3. ค่าจ้างเช่าใช้บริการใบรับรองอิเล็กทรอนิกส์ฯ</t>
  </si>
  <si>
    <t>4. ค่าเช่าใช้บริการลิขสิทธิ์ซอฟต์แวร์สำหรับประชุมทางไกล</t>
  </si>
  <si>
    <t>5. การต่ออายุลิขสิทธิ์ซอฟต์แวร์ของ อย (สำหรับ Firewall และ ebXML)</t>
  </si>
  <si>
    <t>ค่าใช้จ่ายบุคลากร</t>
  </si>
  <si>
    <t>งบส่วนกลาง อย</t>
  </si>
  <si>
    <t>รายงานงบรายจ่ายอื่น การใช้จ่ายค่าใช้จ่ายเดินทางไปราชการต่างประเทศ ที่ได้รับตาม พรบ. ปีงบประมาณ พ.ศ.2566</t>
  </si>
  <si>
    <t>รายละเอียดงบรายจ่ายอื่น  ประจำปีงบประมาณ พ.ศ. 2566</t>
  </si>
  <si>
    <t>แผนงาน 2 ผลผลิต 1 กิจกรรม 1.1</t>
  </si>
  <si>
    <t>แผนงาน 2 ผลผลิต 1 กิจกรรม 1.3</t>
  </si>
  <si>
    <t>แผนงาน 2 ผลผลิต 1 กิจกรรม 1.4</t>
  </si>
  <si>
    <t>งบรายจ่ายรวมทั้งสิ้น</t>
  </si>
  <si>
    <t>1. แผนบูรณาการยาเสพติด</t>
  </si>
  <si>
    <t>2. ค่าใช้จ่ายไปราชการต่างประเทศ</t>
  </si>
  <si>
    <t xml:space="preserve">  - งบดำเนินงาน</t>
  </si>
  <si>
    <t xml:space="preserve">  - ยาเสพติด</t>
  </si>
  <si>
    <t>สรุปผลการใช้จ่ายเงินงบประมาณ ประจำปีงบประมาณ พ.ศ. 2566 (งบดำเนินงาน+ยาเสพติด)</t>
  </si>
  <si>
    <t>1. งบดำเนินงาน+ยาเสพติด</t>
  </si>
  <si>
    <t xml:space="preserve">กยผ.รับผิดชอบ </t>
  </si>
  <si>
    <t>ค่าตอบแทนเต็มขั้น  5101010109</t>
  </si>
  <si>
    <t>เงินเพิ่มสมทบพนักงานราชการ   5101020106</t>
  </si>
  <si>
    <t xml:space="preserve">  - ค่าเช่าบ้าน-อย  00</t>
  </si>
  <si>
    <t xml:space="preserve">  - ค่าเช่าบ้าน-สล  04</t>
  </si>
  <si>
    <t xml:space="preserve">  - ค่าเช่าบ้าน-กองยา  10</t>
  </si>
  <si>
    <t xml:space="preserve">  - ค่าเช่าบ้าน-กองอาหาร  12</t>
  </si>
  <si>
    <t xml:space="preserve">  - ค่าเช่าบ้าน-กลุ่ม ส  22</t>
  </si>
  <si>
    <t xml:space="preserve">  - ค่าเช่าบ้าน-กลุ่ม วอ  23</t>
  </si>
  <si>
    <t xml:space="preserve">  - ค่าเช่าบ้าน-กอง ต  11</t>
  </si>
  <si>
    <t xml:space="preserve">  - ค่าเช่าบ้าน-กอง พ  09</t>
  </si>
  <si>
    <t xml:space="preserve">  - ค่าเช่าบ้าน-กองด่าน  13</t>
  </si>
  <si>
    <t xml:space="preserve">  - ค่าเช่าบ้าน-กยผ  06</t>
  </si>
  <si>
    <t xml:space="preserve">  - ค่าเช่าบ้าน-สมพ  29</t>
  </si>
  <si>
    <t xml:space="preserve">  - ค่าเช่าบ้าน-นบย  31</t>
  </si>
  <si>
    <t xml:space="preserve">  - ค่าเช่าบ้าน-ศรป 26</t>
  </si>
  <si>
    <t xml:space="preserve">  - ค่าเช่าบ้าน-กม.อย  08</t>
  </si>
  <si>
    <t>รายละเอียดงบรายจ่ายอื่น ถอนคืนรายได้แผ่นดิน ปีงบประมาณ พ.ศ. 2566</t>
  </si>
  <si>
    <t>3. ถอนเงินคืนรายได้แผ่นดิน</t>
  </si>
  <si>
    <t>3.  โอนเบิกแทน</t>
  </si>
  <si>
    <t>โอนเบิกแทน-งบดำเนินงาน</t>
  </si>
  <si>
    <t>โอนเบิกแทน-งบรายจ่ายอื่น</t>
  </si>
  <si>
    <r>
      <t>2. ตามมติ ครม</t>
    </r>
    <r>
      <rPr>
        <b/>
        <sz val="16"/>
        <rFont val="TH SarabunPSK"/>
        <family val="2"/>
      </rPr>
      <t xml:space="preserve">  (การเบิกจ่าย)</t>
    </r>
  </si>
  <si>
    <r>
      <t>เป้าหมาย</t>
    </r>
    <r>
      <rPr>
        <b/>
        <u/>
        <sz val="16"/>
        <rFont val="TH SarabunPSK"/>
        <family val="2"/>
      </rPr>
      <t>การเบิกจ่าย</t>
    </r>
    <r>
      <rPr>
        <b/>
        <sz val="16"/>
        <rFont val="TH SarabunPSK"/>
        <family val="2"/>
      </rPr>
      <t>รายจ่าย
งบลงทุนสะสม 
  ณ  สิ้นไตรมาส  (%)
(มติ ครม.)</t>
    </r>
  </si>
  <si>
    <r>
      <t>เป้าหมาย</t>
    </r>
    <r>
      <rPr>
        <b/>
        <u/>
        <sz val="16"/>
        <rFont val="TH SarabunPSK"/>
        <family val="2"/>
      </rPr>
      <t>การเบิกจ่าย</t>
    </r>
    <r>
      <rPr>
        <b/>
        <sz val="16"/>
        <rFont val="TH SarabunPSK"/>
        <family val="2"/>
      </rPr>
      <t>รายจ่ายภาพรวมสะสม
  ณ  สิ้นไตรมาส  (%)
(มติ ครม.)</t>
    </r>
  </si>
  <si>
    <r>
      <t>3. ตามมติ ครม</t>
    </r>
    <r>
      <rPr>
        <b/>
        <sz val="16"/>
        <rFont val="TH SarabunPSK"/>
        <family val="2"/>
      </rPr>
      <t xml:space="preserve">  (การใช้จ่าย)</t>
    </r>
  </si>
  <si>
    <r>
      <t>เป้าหมาย</t>
    </r>
    <r>
      <rPr>
        <b/>
        <u/>
        <sz val="16"/>
        <rFont val="TH SarabunPSK"/>
        <family val="2"/>
      </rPr>
      <t>การใช้จ่าย</t>
    </r>
    <r>
      <rPr>
        <b/>
        <sz val="16"/>
        <rFont val="TH SarabunPSK"/>
        <family val="2"/>
      </rPr>
      <t>รายจ่าย
งบลงทุนสะสม 
  ณ  สิ้นไตรมาส  (%)
(มติ ครม.)</t>
    </r>
  </si>
  <si>
    <r>
      <t>เป้าหมาย</t>
    </r>
    <r>
      <rPr>
        <b/>
        <u/>
        <sz val="16"/>
        <rFont val="TH SarabunPSK"/>
        <family val="2"/>
      </rPr>
      <t>การใช้จ่าย</t>
    </r>
    <r>
      <rPr>
        <b/>
        <sz val="16"/>
        <rFont val="TH SarabunPSK"/>
        <family val="2"/>
      </rPr>
      <t>รายจ่ายภาพรวมสะสม
  ณ  สิ้นไตรมาส  (%)
(มติ ครม.)</t>
    </r>
  </si>
  <si>
    <t>ตั้งแต่วันที่ 1 ตุลาคม 2565 - 31 ธันวาคม 2565</t>
  </si>
  <si>
    <t xml:space="preserve"> เป้าหมาย อย. สิ้นสุด 31 ธ.ค.65  (ยอดเบิกจ่ายในภาพรวมรับจัดสรรงวดที่ 1 ร้อยละ 37.50 , งบลงทุน (เฉพาะรายการครุภัณฑ์จัดซื้อ) ร้อยละ 50)</t>
  </si>
  <si>
    <t xml:space="preserve"> เป้าหมายตามมติ ครม สิ้นสุด 31 ธ.ค.65  (ยอดเบิกจ่ายในภาพรวม ร้อยละ 32 , งบลงทุน  ร้อยละ 19)</t>
  </si>
  <si>
    <t xml:space="preserve"> เป้าหมายตามมติ ครม สิ้นสุด 31 ธ.ค.65  (ยอดใช้จ่ายในภาพรวม ร้อยละ 34.08 , งบลงทุน  ร้อยละ 28.96)</t>
  </si>
  <si>
    <t>ณ  วันที่ 31 ธันวาคม 2565</t>
  </si>
  <si>
    <t>ผลการเบิกจ่ายเงินของ อย. สิ้นสุด  31 ธันวาคม 2565</t>
  </si>
  <si>
    <r>
      <rPr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ยอดงบประมาณโอนเบิกแทนตามทะเบียนคุมงบประมาณ แตกต่างกับระบบ GFMIS จำนวน 1,000,000 บาท เนื่องจากอยู่ระหว่างกรมบัญชีกลางตัดโอนเงินให้หน่วยงานอื่นเบิกแทน ดังนี้
          1. ค่าดำเนินการจัดทำรายการตำรับผลิตภัณฑ์สมุนไพรอ้างอิง (positive lists)/กรมการแพทย์แผนไทฯ จำนวน  400,000 บาท
          2. การขับเคลื่อนภารกิจ กำกับ ติดตามการตรวจราชการและนิเทศงาน ประจำปีงบประมาณ พ.ศ.2566 /สป.สธ จำนวน 600,000 บาท
               </t>
    </r>
  </si>
  <si>
    <t>2.โรงจอดรถจักรยานยนต์เฟส 2 ด้าหลังอาคาร 7</t>
  </si>
  <si>
    <t>3. ปรับระดับทางเดินระหว่างอาคาร 4 และอาคาร 6</t>
  </si>
  <si>
    <t>สรุปรายละเอียดการโอนงบประมาณเบิกแทนกัน ประจำปีงบประมาณ พ.ศ. 2566</t>
  </si>
  <si>
    <t>ณ วันที่ 31 ธันวาคม 2565</t>
  </si>
  <si>
    <t>หน่วยงานเจ้าของงบประมาณ/โครงการ</t>
  </si>
  <si>
    <t>ศูนย์จัดการเรื่องร้องเรียนและปรามปรามการกระทำความผิดฯ</t>
  </si>
  <si>
    <t>Ø</t>
  </si>
  <si>
    <t xml:space="preserve">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</t>
  </si>
  <si>
    <t>กองด่านอาหารและยา</t>
  </si>
  <si>
    <t>ค่าใช้จ่ายของด่านอาหารและยาส่วนภูมิภาค ประจำปีงบประมาณ พ.ศ. 2566 (งวดที่ 1)</t>
  </si>
  <si>
    <t>กองผลิตภัณฑ์สมุนไพร</t>
  </si>
  <si>
    <t xml:space="preserve">ค่าดำเนินการจัดทำรายการตำรับผลิตภัณฑ์สมุนไพรอ้างอิง (positive lists) </t>
  </si>
  <si>
    <t xml:space="preserve">การขับเคลื่อนภารกิจ กำกับ ติดตามการตรวจราชการและนิเทศงาน ประจำปีงบประมาณ พ.ศ. 2566 </t>
  </si>
  <si>
    <t>กลุ่มควบคุมวัตถุอันตราย</t>
  </si>
  <si>
    <t>งบประมาณโอนเบิกแทนกัน ประจำปีงบประมาณ พ.ศ. 2566 (กรณีโอนให้หน่วยงานในสังกัดสำนักงานปลัดกระทรวงสาธารณสุขเบิกแทน)</t>
  </si>
  <si>
    <t>หน่วยงานผู้เบิกแทน</t>
  </si>
  <si>
    <t>รหัสพื้นที่</t>
  </si>
  <si>
    <t>รหัสหน่วยเบิกจ่าย</t>
  </si>
  <si>
    <t>กองด่านฯ</t>
  </si>
  <si>
    <t>อย.</t>
  </si>
  <si>
    <t>รวม
โครงการที่ 1 - 2</t>
  </si>
  <si>
    <t>ค่าใช้จ่ายของด่านอาหารและยาส่วนภูมิภาค ประจำปีงบประมาณ พ.ศ. 2566
 (งวดที่ 1)</t>
  </si>
  <si>
    <r>
      <t xml:space="preserve">รหัสงบประมาณ </t>
    </r>
    <r>
      <rPr>
        <b/>
        <sz val="16"/>
        <color indexed="12"/>
        <rFont val="Wingdings 3"/>
        <family val="1"/>
        <charset val="2"/>
      </rPr>
      <t>â</t>
    </r>
  </si>
  <si>
    <t>2100236001009000</t>
  </si>
  <si>
    <t>คบ.เขต 1</t>
  </si>
  <si>
    <t>สสจ.เชียงใหม่</t>
  </si>
  <si>
    <t>P5000</t>
  </si>
  <si>
    <t>สสจ.ลำพูน</t>
  </si>
  <si>
    <t>P5100</t>
  </si>
  <si>
    <t>สสจ.ลำปาง</t>
  </si>
  <si>
    <t>P5200</t>
  </si>
  <si>
    <t>สสจ.แพร่</t>
  </si>
  <si>
    <t>P5400</t>
  </si>
  <si>
    <t>สสจ.น่าน</t>
  </si>
  <si>
    <t>P5500</t>
  </si>
  <si>
    <t>สสจ.พะเยา</t>
  </si>
  <si>
    <t>P5600</t>
  </si>
  <si>
    <t>สสจ.เชียงราย</t>
  </si>
  <si>
    <t>P5700</t>
  </si>
  <si>
    <t>สสจ.แม่ฮ่องสอน</t>
  </si>
  <si>
    <t>P5800</t>
  </si>
  <si>
    <t>คบ.เขต 2</t>
  </si>
  <si>
    <t>สสจ.อุตรดิตถ์</t>
  </si>
  <si>
    <t>P5300</t>
  </si>
  <si>
    <t>สสจ.ตาก</t>
  </si>
  <si>
    <t>P6300</t>
  </si>
  <si>
    <t>สสจ.สุโขทัย</t>
  </si>
  <si>
    <t>P6400</t>
  </si>
  <si>
    <t>สสจ.พิษณุโลก</t>
  </si>
  <si>
    <t>P6500</t>
  </si>
  <si>
    <t>สสจ.เพชรบูรณ์</t>
  </si>
  <si>
    <t>P6700</t>
  </si>
  <si>
    <t>คบ.เขต 3</t>
  </si>
  <si>
    <t>สสจ.ชัยนาท</t>
  </si>
  <si>
    <t>P1800</t>
  </si>
  <si>
    <t>สสจ.นครสวรรค์</t>
  </si>
  <si>
    <t>P6000</t>
  </si>
  <si>
    <t>สสจ.อุทัยธานี</t>
  </si>
  <si>
    <t>P6100</t>
  </si>
  <si>
    <t>สสจ.กำแพงเพชร</t>
  </si>
  <si>
    <t>P6200</t>
  </si>
  <si>
    <t>สสจ.พิจิตร</t>
  </si>
  <si>
    <t>P6600</t>
  </si>
  <si>
    <t>คบ.เขต 4</t>
  </si>
  <si>
    <t>สสจ.นนทบุรี</t>
  </si>
  <si>
    <t>P1200</t>
  </si>
  <si>
    <t>สสจ.ปทุมธานี</t>
  </si>
  <si>
    <t>P1300</t>
  </si>
  <si>
    <t>สสจ.พระนครศรีอยุธยา</t>
  </si>
  <si>
    <t>P1400</t>
  </si>
  <si>
    <t>สสจ.อ่างทอง</t>
  </si>
  <si>
    <t>P1500</t>
  </si>
  <si>
    <t>สสจ.ลพบุรี</t>
  </si>
  <si>
    <t>P1600</t>
  </si>
  <si>
    <t>สสจ.สิงห์บุรี</t>
  </si>
  <si>
    <t>P1700</t>
  </si>
  <si>
    <t>สสจ.สระบุรี</t>
  </si>
  <si>
    <t>P1900</t>
  </si>
  <si>
    <t>สสจ.นครนายก</t>
  </si>
  <si>
    <t>P2600</t>
  </si>
  <si>
    <t>คบ.เขต 5</t>
  </si>
  <si>
    <t>สสจ.ราชบุรี</t>
  </si>
  <si>
    <t>P7000</t>
  </si>
  <si>
    <t>สสจ.กาญจนบุรี</t>
  </si>
  <si>
    <t>P7100</t>
  </si>
  <si>
    <t>สสจ.สุพรรณบุรี</t>
  </si>
  <si>
    <t>P7200</t>
  </si>
  <si>
    <t>สสจ.นครปฐม</t>
  </si>
  <si>
    <t>P7300</t>
  </si>
  <si>
    <t>สสจ.สมุทรสาคร</t>
  </si>
  <si>
    <t>P7400</t>
  </si>
  <si>
    <t>สสจ.สมุทรสงคราม</t>
  </si>
  <si>
    <t>P7500</t>
  </si>
  <si>
    <t>สสจ.เพชรบุรี</t>
  </si>
  <si>
    <t>P7600</t>
  </si>
  <si>
    <t>สสจ.ประจวบคีรีขันธ์</t>
  </si>
  <si>
    <t>P7700</t>
  </si>
  <si>
    <t>คบ.เขต 6</t>
  </si>
  <si>
    <t>สสจ.สมุทรปราการ</t>
  </si>
  <si>
    <t>P1100</t>
  </si>
  <si>
    <t>สสจ.ชลบุรี</t>
  </si>
  <si>
    <t>P2000</t>
  </si>
  <si>
    <t>สสจ.ระยอง</t>
  </si>
  <si>
    <t>P2100</t>
  </si>
  <si>
    <t>สสจ.จันทบุรี</t>
  </si>
  <si>
    <t>P2200</t>
  </si>
  <si>
    <t>สสจ.ตราด</t>
  </si>
  <si>
    <t>P2300</t>
  </si>
  <si>
    <t>สสจ.ฉะเชิงเทรา</t>
  </si>
  <si>
    <t>P2400</t>
  </si>
  <si>
    <t>สสจ.ปราจีนบุรี</t>
  </si>
  <si>
    <t>P2500</t>
  </si>
  <si>
    <t>สสจ.สระแก้ว</t>
  </si>
  <si>
    <t>P2700</t>
  </si>
  <si>
    <t>คบ.เขต 7</t>
  </si>
  <si>
    <t>สสจ.ขอนแก่น</t>
  </si>
  <si>
    <t>P4000</t>
  </si>
  <si>
    <t>สสจ.มหาสารคาม</t>
  </si>
  <si>
    <t>P4400</t>
  </si>
  <si>
    <t>สสจ.ร้อยเอ็ด</t>
  </si>
  <si>
    <t>P4500</t>
  </si>
  <si>
    <t>สสจ.กาฬสินธุ์</t>
  </si>
  <si>
    <t>P4600</t>
  </si>
  <si>
    <t>คบ.เขต 8</t>
  </si>
  <si>
    <t>สสจ.บึงกาฬ</t>
  </si>
  <si>
    <t>P3800</t>
  </si>
  <si>
    <t>สสจ.หนองบัวลำภู</t>
  </si>
  <si>
    <t>P3900</t>
  </si>
  <si>
    <t>สสจ.อุดรธานี</t>
  </si>
  <si>
    <t>P4100</t>
  </si>
  <si>
    <t>สสจ.เลย</t>
  </si>
  <si>
    <t>P4200</t>
  </si>
  <si>
    <t>สสจ.หนองคาย</t>
  </si>
  <si>
    <t>P4300</t>
  </si>
  <si>
    <t>สสจ.สกลนคร</t>
  </si>
  <si>
    <t>P4700</t>
  </si>
  <si>
    <t>สสจ.นครพนม</t>
  </si>
  <si>
    <t>P4800</t>
  </si>
  <si>
    <t>คบ.เขต 9</t>
  </si>
  <si>
    <t>สสจ.นครราชสีมา</t>
  </si>
  <si>
    <t>P3000</t>
  </si>
  <si>
    <t>สสจ.บุรีรัมย์</t>
  </si>
  <si>
    <t>P3100</t>
  </si>
  <si>
    <t>สสจ.สุรินทร์</t>
  </si>
  <si>
    <t>P3200</t>
  </si>
  <si>
    <t>สสจ.ชัยภูมิ</t>
  </si>
  <si>
    <t>P3600</t>
  </si>
  <si>
    <t>คบ.เขต 10</t>
  </si>
  <si>
    <t>สสจ.ศรีสะเกษ</t>
  </si>
  <si>
    <t>P3300</t>
  </si>
  <si>
    <t>สสจ.อุบลราชธานี</t>
  </si>
  <si>
    <t>P3400</t>
  </si>
  <si>
    <t>สสจ.ยโสธร</t>
  </si>
  <si>
    <t>P3500</t>
  </si>
  <si>
    <t>สสจ.อำนาจเจริญ</t>
  </si>
  <si>
    <t>P3700</t>
  </si>
  <si>
    <t>สสจ.มุกดาหาร</t>
  </si>
  <si>
    <t>P4900</t>
  </si>
  <si>
    <t>คบ.เขต 11</t>
  </si>
  <si>
    <t>สสจ.นครศรีธรรมราช</t>
  </si>
  <si>
    <t>P8000</t>
  </si>
  <si>
    <t>สสจ.กระบี่</t>
  </si>
  <si>
    <t>P8100</t>
  </si>
  <si>
    <t>สสจ.พังงา</t>
  </si>
  <si>
    <t>P8200</t>
  </si>
  <si>
    <t>สสจ.ภูเก็ต</t>
  </si>
  <si>
    <t>P8300</t>
  </si>
  <si>
    <t>สสจ.สุราษฎร์ธานี</t>
  </si>
  <si>
    <t>P8400</t>
  </si>
  <si>
    <t>สสจ.ระนอง</t>
  </si>
  <si>
    <t>P8500</t>
  </si>
  <si>
    <t>สสจ.ชุมพร</t>
  </si>
  <si>
    <t>P8600</t>
  </si>
  <si>
    <t>คบ.เขต 12</t>
  </si>
  <si>
    <t>สสจ.สงขลา</t>
  </si>
  <si>
    <t>P9000</t>
  </si>
  <si>
    <t>สสจ.สตูล</t>
  </si>
  <si>
    <t>P9100</t>
  </si>
  <si>
    <t>สสจ.ตรัง</t>
  </si>
  <si>
    <t>P9200</t>
  </si>
  <si>
    <t>สสจ.พัทลุง</t>
  </si>
  <si>
    <t>P9300</t>
  </si>
  <si>
    <t>สสจ.ปัตตานี</t>
  </si>
  <si>
    <t>P9400</t>
  </si>
  <si>
    <t>สสจ.ยะลา</t>
  </si>
  <si>
    <t>P9500</t>
  </si>
  <si>
    <t>สสจ.นราธิวาส</t>
  </si>
  <si>
    <t>P9600</t>
  </si>
  <si>
    <t>หน่วยงานอื่นๆ ในสังกัด สป.สธ.</t>
  </si>
  <si>
    <t>สำนักตรวจราชการ</t>
  </si>
  <si>
    <t>P1000</t>
  </si>
  <si>
    <t>รพ. บ้านหมี่ จ.ลพบุรี</t>
  </si>
  <si>
    <t>รพ. ชัยนาทนเรนทร จ.ชัยนาท</t>
  </si>
  <si>
    <t>รพ. ยโสธร จ.ยโสธร</t>
  </si>
  <si>
    <t>รพ. กาฬสินธุ์ จ.กาฬสินธุ์</t>
  </si>
  <si>
    <t>รพ. สกลนคร จ.สกลนคร</t>
  </si>
  <si>
    <t>รพ. สมเด็จพระเจ้าตากสินมหาราช จ.ตาก</t>
  </si>
  <si>
    <t>รพ. ศรีสังวรสุโขทัย จ.สุโขทัย</t>
  </si>
  <si>
    <t>รพ. ปัตตานี จ.ปัตตานี</t>
  </si>
  <si>
    <t>รพ. ยะลา จ.ยะลา</t>
  </si>
  <si>
    <t>งบประมาณโอนเบิกแทนกัน ประจำปีงบประมาณ พ.ศ. 2566 (กรณีโอนให้หน่วยงานอื่นที่ไม่ใช่หน่วยงานในสังกัด สป.สธ.)</t>
  </si>
  <si>
    <t xml:space="preserve">รวมโครงการ
</t>
  </si>
  <si>
    <t>โครงการที่ 1</t>
  </si>
  <si>
    <t>โครงการที่ 2</t>
  </si>
  <si>
    <t>หน่วยเบิกแทนอื่นๆ</t>
  </si>
  <si>
    <t>สำนักงานตำรวจแห่งชาติ (บก.ปคบ.)</t>
  </si>
  <si>
    <t>กรมการแพทย์แผนไทยและแพทย์ทางเลือก</t>
  </si>
  <si>
    <t>รายละเอียดโครงการที่โอนงบประมาณเบิกแทนกัน ประจำปีงบประมาณ พ.ศ.2566  (จำแนกตาม คบ.เขต)</t>
  </si>
  <si>
    <t>รายละเอียด</t>
  </si>
  <si>
    <t>หน่วยงานผู้เบิกแทน(สังกัด คบ. เขต สป.สธ.)</t>
  </si>
  <si>
    <t>หน่วยงานอื่นๆ</t>
  </si>
  <si>
    <t>เจ้าของโครงการ</t>
  </si>
  <si>
    <t>ชื่อโครงการ</t>
  </si>
  <si>
    <t xml:space="preserve">1.ค่าใช้จ่ายในการปฏิบัติงานปราบปรามการกระทำความผิดเกี่ยวกับการคุ้มครองผู้บริโภค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</t>
  </si>
  <si>
    <t>ศรป.</t>
  </si>
  <si>
    <t>2.ค่าใช้จ่ายของด่านอาหารและยาส่วนภูมิภาค ประจำปีงบประมาณ พ.ศ. 2566 (งวดที่ 1)</t>
  </si>
  <si>
    <t xml:space="preserve">3.ค่าดำเนินการจัดทำรายการตำรับผลิตภัณฑ์สมุนไพรอ้างอิง (positive lists) </t>
  </si>
  <si>
    <t xml:space="preserve">4.การขับเคลื่อนภารกิจ กำกับ ติดตามการตรวจราชการและนิเทศงาน ประจำปีงบประมาณ พ.ศ. 2566 </t>
  </si>
  <si>
    <t>สรุปผลการใช้จ่ายเงินงบประมาณเบิกแทนกัน ประจำปีงบประมาณ พ.ศ. 2566</t>
  </si>
  <si>
    <t xml:space="preserve">ณ วันที่  31 ธันวาคม 2565 </t>
  </si>
  <si>
    <t>ร้อยละ</t>
  </si>
  <si>
    <t>หน่วยเบิกแทน</t>
  </si>
  <si>
    <t>เงินกันเหลื่อมปี</t>
  </si>
  <si>
    <t xml:space="preserve">รวมทั้งสิ้น จำนวน </t>
  </si>
  <si>
    <t>หน่วยงานในสังกัด สป.สธ.</t>
  </si>
  <si>
    <t>1.1  คบ. เขต 1</t>
  </si>
  <si>
    <t>1.2  คบ. เขต 2</t>
  </si>
  <si>
    <t>1.3  คบ. เขต 3</t>
  </si>
  <si>
    <t>1.4  คบ. เขต 4</t>
  </si>
  <si>
    <t>1.5  คบ. เขต 5</t>
  </si>
  <si>
    <t>1.6  คบ. เขต 6</t>
  </si>
  <si>
    <t>1.7  คบ. เขต 7</t>
  </si>
  <si>
    <t>1.8  คบ. เขต 8</t>
  </si>
  <si>
    <t>1.9  คบ. เขต 9</t>
  </si>
  <si>
    <t>1.10  คบ. เขต 10</t>
  </si>
  <si>
    <t>1.11  คบ. เขต 11</t>
  </si>
  <si>
    <t>1.12  คบ. เขต 12</t>
  </si>
  <si>
    <t>1.13  หน่วยงานอื่นๆ ในสังกัด สป.สธ.</t>
  </si>
  <si>
    <t>หน่วยงานอื่น</t>
  </si>
  <si>
    <t>2.1  กรมวิทยาศาสตร์การแพทย์</t>
  </si>
  <si>
    <t xml:space="preserve">2.2  กรมการแพทย์ </t>
  </si>
  <si>
    <t>2.3  กรมควบคุมโรค</t>
  </si>
  <si>
    <t>2.2  กรมพัฒนาการแพทย์แผนไทยและการแพทย์ทางเลือก</t>
  </si>
  <si>
    <t>2.4  กรมสนับสนุนบริการสุขภาพ</t>
  </si>
  <si>
    <t>2.6  มหาวิทยาลัยสงขลานครินทร์ (รพ.สงขลานครินทร์)</t>
  </si>
  <si>
    <t>2.5  มหาวิทยาลัยขอนแก่น</t>
  </si>
  <si>
    <t>2.3  กรุงเทพมหานคร</t>
  </si>
  <si>
    <t xml:space="preserve">2.1  สำนักงานตำรวจแห่งชาติ </t>
  </si>
  <si>
    <r>
      <rPr>
        <b/>
        <u/>
        <sz val="14"/>
        <color indexed="9"/>
        <rFont val="TH SarabunPSK"/>
        <family val="2"/>
      </rPr>
      <t>หมายเหตุ</t>
    </r>
    <r>
      <rPr>
        <b/>
        <sz val="14"/>
        <color indexed="9"/>
        <rFont val="TH SarabunPSK"/>
        <family val="2"/>
      </rPr>
      <t xml:space="preserve">  โครงการที่อยู่ระหว่างเสนอ อย.อนุมัติ ให้หน่วยงานผู้เบิกแทน ตามบันทึกข้อความ สธ 1004.01/5106 ลวท. 24 พย. 63 คือ </t>
    </r>
  </si>
  <si>
    <t xml:space="preserve"> 1.  ค่าตรวจวิเคราะห์ผลิตภัณฑ์สุขภาพ ประจำปีงบประมาณ พ.ศ. 2564 (งวดที่ 1) จำนวน 5,000,000 บาท</t>
  </si>
  <si>
    <t>รายละเอียดผลการใช้จ่ายงบประมาณเบิกแทนกัน ประจำปีงบประมาณ พ.ศ. 2566</t>
  </si>
  <si>
    <t>ลำดับที่</t>
  </si>
  <si>
    <t>หน่วยเบิกจ่าย</t>
  </si>
  <si>
    <t>อยู่ระหว่างตัดโอน</t>
  </si>
  <si>
    <t>จำนวนเงินที่โอน</t>
  </si>
  <si>
    <t>ผูกพัน</t>
  </si>
  <si>
    <t>%เบิกจ่าย</t>
  </si>
  <si>
    <t>รวมทั้งสิ้นจำนวน</t>
  </si>
  <si>
    <t>รหัส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</si>
  <si>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</si>
  <si>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</si>
  <si>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</si>
  <si>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</si>
  <si>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</si>
  <si>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</si>
  <si>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</si>
  <si>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</si>
  <si>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1.2.1</t>
  </si>
  <si>
    <t>1.2.2</t>
  </si>
  <si>
    <t>1.2.3</t>
  </si>
  <si>
    <t>1.2.4</t>
  </si>
  <si>
    <t>1.2.5</t>
  </si>
  <si>
    <t>1.3 คบ. เขต 3</t>
  </si>
  <si>
    <t>1.3.1</t>
  </si>
  <si>
    <t>1.3.2</t>
  </si>
  <si>
    <t>1.3.3</t>
  </si>
  <si>
    <t>1.3.4</t>
  </si>
  <si>
    <t>1.3.5</t>
  </si>
  <si>
    <t>1.4   คบ. เขต 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</si>
  <si>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</si>
  <si>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</si>
  <si>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</si>
  <si>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</si>
  <si>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</si>
  <si>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</si>
  <si>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</si>
  <si>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</si>
  <si>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</si>
  <si>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</si>
  <si>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</si>
  <si>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</si>
  <si>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</si>
  <si>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</si>
  <si>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</si>
  <si>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</si>
  <si>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1.6.1</t>
  </si>
  <si>
    <t>1.6.2</t>
  </si>
  <si>
    <t>1.6.3</t>
  </si>
  <si>
    <t>1.6.4</t>
  </si>
  <si>
    <t>1.6.5</t>
  </si>
  <si>
    <t>1.6.6</t>
  </si>
  <si>
    <t xml:space="preserve">สสจ.ฉะเชิงเทรา </t>
  </si>
  <si>
    <t>1.6.7</t>
  </si>
  <si>
    <t>1.6.8</t>
  </si>
  <si>
    <t>1.7.1</t>
  </si>
  <si>
    <t>1.7.2</t>
  </si>
  <si>
    <t>1.7.3</t>
  </si>
  <si>
    <t>1.7.4</t>
  </si>
  <si>
    <t>1.8 คบ. เขต 8</t>
  </si>
  <si>
    <t>1.8.1</t>
  </si>
  <si>
    <t>1.8.2</t>
  </si>
  <si>
    <t>1.8.3</t>
  </si>
  <si>
    <t>1.8.4</t>
  </si>
  <si>
    <t>1.8.5</t>
  </si>
  <si>
    <t>1.8.6</t>
  </si>
  <si>
    <t>1.8.7</t>
  </si>
  <si>
    <t>1.9.1</t>
  </si>
  <si>
    <t>1.9.2</t>
  </si>
  <si>
    <t>1.9.3</t>
  </si>
  <si>
    <t>1.9.4</t>
  </si>
  <si>
    <t>1.10.1</t>
  </si>
  <si>
    <t>1.10.2</t>
  </si>
  <si>
    <t>1.10.3</t>
  </si>
  <si>
    <t>1.10.4</t>
  </si>
  <si>
    <t>1.10.5</t>
  </si>
  <si>
    <t>1.11.1</t>
  </si>
  <si>
    <t>1.11.2</t>
  </si>
  <si>
    <t>1.11.3</t>
  </si>
  <si>
    <t>1.11.4</t>
  </si>
  <si>
    <t>1.11.5</t>
  </si>
  <si>
    <t>1.11.6</t>
  </si>
  <si>
    <t>1.11.7</t>
  </si>
  <si>
    <t>1.12.1</t>
  </si>
  <si>
    <t>1.12.2</t>
  </si>
  <si>
    <t>1.12.3</t>
  </si>
  <si>
    <t>1.12.4</t>
  </si>
  <si>
    <t>1.12.5</t>
  </si>
  <si>
    <t>1.12.6</t>
  </si>
  <si>
    <t>1.12.7</t>
  </si>
  <si>
    <t>1.13   หน่วยงานอื่นๆ ในสังกัด สป.สธ.</t>
  </si>
  <si>
    <t>1.13.1</t>
  </si>
  <si>
    <t>สำนักตรวจราชการ (สป.สธ)</t>
  </si>
  <si>
    <t>*อยู่ระหว่างเบิกคงเหลือ 48,000*</t>
  </si>
  <si>
    <t>1.13.2</t>
  </si>
  <si>
    <t>รพ. สุรินทร์ จ.สุรินทร์</t>
  </si>
  <si>
    <t>1.13.3</t>
  </si>
  <si>
    <t>รพ.มหาสารคาม จ.มหาสารคาม</t>
  </si>
  <si>
    <t xml:space="preserve">กรมวิทยาศาสตร์การแพทย์ </t>
  </si>
  <si>
    <t>2.1.1   กรมวิทยาศาสตร์การแพทย์ (ส่วนกลาง)</t>
  </si>
  <si>
    <t>2.1.2   ศูนย์วิทยาศาสตร์การแพทย์ชลบุรี</t>
  </si>
  <si>
    <t>2.1.3   ศูนย์วิทยาศาสตร์การแพทย์นครราชสีมา</t>
  </si>
  <si>
    <t>2.1.4   ศูนย์วิทยาศาสตร์การแพทย์อุบลราชธานี</t>
  </si>
  <si>
    <t>2.1.5   ศูนย์วิทยาศาสตร์การแพทย์ขอนแก่น</t>
  </si>
  <si>
    <t>2.1.6   ศูนย์วิทยาศาสตร์การแพทย์อุดรธานี</t>
  </si>
  <si>
    <t>2.1.7   ศูนย์วิทยาศาสตร์การแพทย์เชียงใหม่</t>
  </si>
  <si>
    <t>2.1.8   ศูนย์วิทยาศาสตร์การแพทย์เชียงราย</t>
  </si>
  <si>
    <t>2.1.9   ศูนย์วิทยาศาสตร์การแพทย์นครสวรรค์</t>
  </si>
  <si>
    <t>2.1.10 ศูนย์วิทยาศาสตร์การแพทย์พิษณุโลก</t>
  </si>
  <si>
    <t>2.1.11 ศูนย์วิทยาศาสตร์การแพทย์สมุทรสงคราม</t>
  </si>
  <si>
    <t>2.1.12 ศูนย์วิทยาศาสตร์การแพทย์สุราษฎร์ธานี</t>
  </si>
  <si>
    <t>2.1.13 ศูนย์วิทยาศาสตร์การแพทย์สงขลา</t>
  </si>
  <si>
    <t>2.1.14 ศูนย์วิทยาศาสตร์การแพทย์ตรัง</t>
  </si>
  <si>
    <t>2.1.15 ศูนย์วิทยาศาสตร์การแพทย์ภูเก็ต</t>
  </si>
  <si>
    <t>2.1.16 ศูนย์วิทยาศาสตร์การแพทย์สระบุรี</t>
  </si>
  <si>
    <t>กรมการแพทย์ (สถาบันวิจัยฯ + สถาบันบำบัดรักษาฯ)</t>
  </si>
  <si>
    <t>กรมการแพทย์แผนไทยและการแพทย์ทางเลือก</t>
  </si>
  <si>
    <t>กรมสนับสนุนบริการสุขภาพ</t>
  </si>
  <si>
    <t>มหาวิทยาลัยขอนแก่น</t>
  </si>
  <si>
    <t>กรุงเทพมหานคร</t>
  </si>
  <si>
    <t>สำนักงานตำรวจแห่งชาติ (บก.ปคบ)</t>
  </si>
  <si>
    <t>กรมประชาสัมพันธ์ (สถานีวิทยุแห่งประเทศไทย)</t>
  </si>
  <si>
    <t>กองทัพบก (รพ.ค่ายสุรนารี)</t>
  </si>
  <si>
    <t xml:space="preserve"> - ค่าใช้จ่ายของด่านอาหารและยาส่วนภูมิภาค ประจำปีงบประมาณ พ.ศ. 2566
 (งวดที่ 1) / กองด่าน</t>
  </si>
  <si>
    <t xml:space="preserve"> - การประชุมสัมมนาเครือข่าย คบส.ในส่วนภูมิภาค - งวดที่ 2 (คบ.)</t>
  </si>
  <si>
    <t xml:space="preserve"> - ตรวจสอบเฝ้าระวังผลิตภัณฑ์นำเข้าณ ด่านอาหารและยาส่วนภูมิภาค- งวดที่ 2 (ด่านฯ)</t>
  </si>
  <si>
    <t xml:space="preserve"> - ตรวจสอบเฝ้าระวังการลักลอบนำเข้าวัตถุเสพติดส่วนภูมิภาค - งวดที่ 2 (ด่านฯ)</t>
  </si>
  <si>
    <t xml:space="preserve"> - โครงการเด็กไทยบริโภคปลอดภัย ห่างไกลโรค NCDs (อย.น้อย) ปีงบประมาณ พ.ศ. 2563  งวดที่ 2 (พศ)</t>
  </si>
  <si>
    <t>1.2 คบ. เขต 2</t>
  </si>
  <si>
    <t>1.3  คบ. เขต 5</t>
  </si>
  <si>
    <t>1.4  คบ. เขต 6</t>
  </si>
  <si>
    <t>1.5  คบ. เขต 8</t>
  </si>
  <si>
    <t>1.6  คบ. เขต 10</t>
  </si>
  <si>
    <t>1.7  คบ. เขต 11</t>
  </si>
  <si>
    <t>1.8  คบ. เขต 12</t>
  </si>
  <si>
    <t>1.9   หน่วยงานอื่นๆ ในสังกัด สป.สธ.</t>
  </si>
  <si>
    <t xml:space="preserve"> - ค่าใช้จ่ายในการขับเคลื่อนภารกิจ กำกับ ติดตามการตรวจราชการและนิเทศงาน ประจำปีงบประมาณ พ.ศ. 2566 </t>
  </si>
  <si>
    <t xml:space="preserve"> - โครงการเครือข่ายชุมชนร่วมใจ ป้องกันภัยผลิตภัณฑ์สุขภาพ (บวร.ร.) ปีงบประมาณ พ.ศ. 2563</t>
  </si>
  <si>
    <t>รพ. มหาสารคาม จ.มหาสารคาม</t>
  </si>
  <si>
    <t>กรมวิทยาศาสตร์การแพทย์</t>
  </si>
  <si>
    <t xml:space="preserve"> - ค่าตรวจวิเคราะห์ผลิตภัณฑ์สุขภาพ ประจำปีงบประมาณ พ.ศ. 2564 
(งวดที่ 1 ) /งบกลาง อย</t>
  </si>
  <si>
    <t xml:space="preserve"> - ค่าใช้จ่ายในการตรวจประเมินห้องปฏิบัติการด่านอาหารและยา 4 แห่ง /ด่านฯ</t>
  </si>
  <si>
    <t>2.1.1  กรมวิทยาศาสตร์การแพทย์ (ส่วนกลาง)</t>
  </si>
  <si>
    <t>2.1.2  ศูนย์วิทยาศาสตร์การแพทย์ชลบุรี</t>
  </si>
  <si>
    <t>2.1.3  ศูนย์วิทยาศาสตร์การแพทย์นครราชสีมา</t>
  </si>
  <si>
    <t>2.1.4  ศูนย์วิทยาศาสตร์การแพทย์อุบลราชธานี</t>
  </si>
  <si>
    <t>2.1.5  ศูนย์วิทยาศาสตร์การแพทย์ขอนแก่น</t>
  </si>
  <si>
    <t>2.1.6  ศูนย์วิทยาศาสตร์การแพทย์อุดรธานี</t>
  </si>
  <si>
    <t>2.1.7  ศูนย์วิทยาศาสตร์การแพทย์เชียงใหม่</t>
  </si>
  <si>
    <t>2.1.8  ศูนย์วิทยาศาสตร์การแพทย์เชียงราย</t>
  </si>
  <si>
    <t>2.1.9  ศูนย์วิทยาศาสตร์การแพทย์นครสวรรค์</t>
  </si>
  <si>
    <t>กรมการแพทย์</t>
  </si>
  <si>
    <t xml:space="preserve"> - การจัดอบรมการใช้สารสกัดจากกัญชาทางการแพทย์สำหรับบุคลากรทางการแพทย์ /สถาบันวิจัยและประเมินเทคโนโลยีทางการแพทย์ (กอง ต./อย.)</t>
  </si>
  <si>
    <t xml:space="preserve"> - การจัดประชุมวิชาการยาเสพติดแห่งชาติ ครั้งที่ 20 ปี 2562 /สถาบันบำบัดรักษาและฟื้นฟูผู้ติดยาเสพติดแห่งชาติบรมราชชนนี  (กอง ต./อย.)</t>
  </si>
  <si>
    <t xml:space="preserve"> - ค่าดำเนินการจัดทำรายการตำรับผลิตภัณฑ์สมุนไพรอ้างอิง (positive lists) </t>
  </si>
  <si>
    <t xml:space="preserve"> - การจัดงานวันอาสาสมัครสาธารณสุขแห่งชาติประจำปี พ.ศ. 2559</t>
  </si>
  <si>
    <t>2.5</t>
  </si>
  <si>
    <t xml:space="preserve"> - ค่าใช้จ่ายเก็บตัวอย่างน้ำบริโภคในภาชนะบรรจุที่ปิดสนิทและน้ำแข็งจากสถานที่ผลิตในพื้นที่กรุงเทพมหานคร</t>
  </si>
  <si>
    <t xml:space="preserve"> - โอนกลับงบประมาณเบิกแทน อย.</t>
  </si>
  <si>
    <t xml:space="preserve"> - 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</t>
  </si>
  <si>
    <t xml:space="preserve">สรุปรายการเงินกันไว้เบิกเหลื่อมปี ประจำปีงบประมาณ พ.ศ. 2565 กรณีมีหนี้ผูกพัน </t>
  </si>
  <si>
    <t>ลำดับ
ที่</t>
  </si>
  <si>
    <t>กองส่งเสริมงานคุ้มครองผู้บริโภคฯ</t>
  </si>
  <si>
    <t xml:space="preserve">สำนักงานคณะกรรมการอาหารและยา </t>
  </si>
  <si>
    <t>ส่วนราชการเจ้าของงบประมาณ……….สำนักงานคณะกรรมการอาหารและยา……………</t>
  </si>
  <si>
    <t>รายละเอียดความคืบหน้ารายการเงินกันไว้เบิกเหลื่อมปี ประจำปีงบประมาณ พ.ศ.  2565 กรณีมีหนี้ผูกพัน</t>
  </si>
  <si>
    <t>รายการกันเงิน</t>
  </si>
  <si>
    <t>รายชื่อเจ้าหนี้</t>
  </si>
  <si>
    <t>วันลงนามและ
วันครบกำหนด</t>
  </si>
  <si>
    <t xml:space="preserve">จำนวนเงินที่ขอกันเหลื่อมปี 
</t>
  </si>
  <si>
    <t xml:space="preserve">จำนวนเงินในสัญญา/ข้อตกลง
</t>
  </si>
  <si>
    <t>การกันเงินในทะเบียนคุมงบประมาณ</t>
  </si>
  <si>
    <t>ความคืบหน้า</t>
  </si>
  <si>
    <r>
      <t>ค่าเช่ารถยนต์ตู้โดยสาร 12 ที่นั่ง 3 คัน (รายการผูกพันข้ามปี) /</t>
    </r>
    <r>
      <rPr>
        <b/>
        <sz val="15"/>
        <rFont val="TH SarabunPSK"/>
        <family val="2"/>
      </rPr>
      <t>ปี 2565-2569</t>
    </r>
  </si>
  <si>
    <t>บริษัท ศรีวัฒน์ลิสซิ่ง จำกัด</t>
  </si>
  <si>
    <t xml:space="preserve"> 17 พค. 65 
 30 กย.69</t>
  </si>
  <si>
    <t>ด่าน-1.3(แผน5)  3 เมย.63</t>
  </si>
  <si>
    <t>กอง ด่านฯ</t>
  </si>
  <si>
    <t xml:space="preserve"> - ค่าเช่ารถ ตค. 65 - มิย. 66  = 611,023.50 บาท (งวดละ  67,891.5 บาท )
 - ค่าเช่ารถ กค. 66 = 8,410.50 บาท  
(ส่วนที่ขาดใช้เงินปี 2566)</t>
  </si>
  <si>
    <t>งวดเดือน พ.ย. 65 ตรวจรับและส่งมอบแล้วอยู่ระหว่างจัดทำเอกสารเบิกจ่ายเงิน</t>
  </si>
  <si>
    <t>รวม กองด่านอาหารและยา</t>
  </si>
  <si>
    <r>
      <t xml:space="preserve">ค่าเช่ารถยนต์ตู้โดยสาร 12 ที่นั่ง  เครื่องยนต์ดีเซล 2 คัน (รายการผูกพันข้ามปี) </t>
    </r>
    <r>
      <rPr>
        <b/>
        <sz val="15"/>
        <color indexed="8"/>
        <rFont val="TH SarabunPSK"/>
        <family val="2"/>
      </rPr>
      <t>/ปี 2561-2565</t>
    </r>
  </si>
  <si>
    <t>บริษัท แอ๊ดวานซ์ โกลบอล จำกัด</t>
  </si>
  <si>
    <t>6 กพ. 61 -   30 กย.65</t>
  </si>
  <si>
    <t>ต.-1.3(แผน5)   17 เมย.63</t>
  </si>
  <si>
    <t xml:space="preserve"> - ค่าเช่ารถ ตค. 65  = 84 บาท (งวดละ 109,568 บาท ส่วนที่ขาดใช้เงินปี 2566)</t>
  </si>
  <si>
    <t>เบิกจ่ายเรียบร้อยแล้ว</t>
  </si>
  <si>
    <t>รวม กองส่งเสริมงานคุ้มครองผู้บริโภคฯ</t>
  </si>
  <si>
    <r>
      <t>ค่าเช่ารถตู้โดยสารขนาด 12 ที่นั่ง เครื่องยนต์ดีเซล 4 คัน (รายการผูกพันข้ามปี)</t>
    </r>
    <r>
      <rPr>
        <b/>
        <sz val="15"/>
        <rFont val="TH SarabunPSK"/>
        <family val="2"/>
      </rPr>
      <t xml:space="preserve"> /ปี 2563-2567</t>
    </r>
  </si>
  <si>
    <t>บริษัท อาคเนย์แคปปิตอล จำกัด</t>
  </si>
  <si>
    <t>16 เมย.63 - 
30 กย 67</t>
  </si>
  <si>
    <t>อ.-1.3(แผน5)     5 มิย.63</t>
  </si>
  <si>
    <t>กอง อาหาร</t>
  </si>
  <si>
    <t xml:space="preserve"> - ค่าเช่ารถ ตค. 65 = 171.04 บาท (งวดละ 89,987 บาท ส่วนที่ขาดใช้เงินปี 2566)
 </t>
  </si>
  <si>
    <t>รวม กองอาหาร</t>
  </si>
  <si>
    <t>ค่าเช่ารถยนต์ตู้โดยสาร 12 ที่นั่ง 3 คัน (รายการผูกพันข้ามปี) /ปี 2565-2569</t>
  </si>
  <si>
    <t xml:space="preserve"> 17 พค. 65 -
 30 กย. 69</t>
  </si>
  <si>
    <t xml:space="preserve">งวดเดือน ต.ค. 65 อยู่ระหว่างเบิกจ่ายเงิน
งวดเดือน พ.ย. 65 ตรวจรับและส่งมอบแล้วอยู่ระหว่างจัดทำเอกสารเบิกจ่ายเงิน
</t>
  </si>
  <si>
    <t>โครงการบริหารอัตรากำลัง</t>
  </si>
  <si>
    <t>บริษัท ออนพีเพิล จำกัด</t>
  </si>
  <si>
    <t>25 เมย. 65 - 
31 มค. 65</t>
  </si>
  <si>
    <t xml:space="preserve"> - งวดที่ 2 = 165,850 บาท ส่งมอบงาน 24 พ.ย. 65
 - งวดที่ 3 = 160,500 บาท ส่งมอบงาน 23 ม.ค. 66</t>
  </si>
  <si>
    <t xml:space="preserve">งวดที่ 2 อยู่ระหว่างดำเนินการ เนื่องจาก กิจกรรม Work shop ยังไม่แล้วเสร็จ
คาดว่าจะขยายเวลารอบที่ 2 </t>
  </si>
  <si>
    <t>รวม สำนักงานเลขานุการกรม</t>
  </si>
  <si>
    <t>ระบบไฟฟ้าและสายไฟ อาคาร 1-5 /ปี 2565</t>
  </si>
  <si>
    <t>การไฟฟ้านครหลวง</t>
  </si>
  <si>
    <t>28 กย. 65 - 
26 มิย. 66</t>
  </si>
  <si>
    <t xml:space="preserve"> - งวดที่ 1 = 10,187,000 บาท 
ส่งมอบงาน 26 มิ.ย. 66</t>
  </si>
  <si>
    <t>งวดที่ 1 อยู่ระหว่างดำเนินการ</t>
  </si>
  <si>
    <t>รวม สำนักงานคณะกรรมการอาหารและยา</t>
  </si>
  <si>
    <t>รวมกันเงินไว้เบิกเหลื่อมปี (งบดำเนินงาน)   จำนวน</t>
  </si>
  <si>
    <t xml:space="preserve">งานระบบสุขาภิบาลและดับเพลิงของอาคารศูนย์บริการของผลิตภัณฑ์สุขภาพเบ็ดเสร็จ </t>
  </si>
  <si>
    <t>บริษัท บี.กริม เทรดดิ้ง คอร์ปอเรชั่น จำกัด</t>
  </si>
  <si>
    <t>17 พค. 65 
23 มค. 66</t>
  </si>
  <si>
    <t>อย-1.1(แผน4)
 /600
22 พค.63</t>
  </si>
  <si>
    <t xml:space="preserve">งวดที่ 1 = 1,018,000 บาท ส่งมอบงาน 24 พ.ย. 65
งวดที่ 2 = 1,527,000 บาท ส่งมอบงาน 23 ม.ค. 66
</t>
  </si>
  <si>
    <t>อยู่ระหว่างติดตั้ง คาดว่าจะส่งมอบงานวันที่ 13 มค. 66</t>
  </si>
  <si>
    <t>งานระบบไฟฟ้าและสื่อสารของอาคาร ศูนย์บริการของผลิตภัณฑ์สุขภาพเบ็ดเสร็จ</t>
  </si>
  <si>
    <t>บริษัท ฟิลเลอร์ (ประเทศไทย) จำกัด</t>
  </si>
  <si>
    <t>18 มีค. 65 
24 ธค. 65</t>
  </si>
  <si>
    <t>อย-1.1(แผน5)
/600
31 กค.63</t>
  </si>
  <si>
    <t>งวดที่ 1 = 1,080,000 บาท ส่งมอบงาน 10 ต.ค. 65
งวดที่ 2 = 2,520,000 บาท ส่งมอบงาน 24 ธ.ค. 65
มีการปรับลดยอด งวดที่ 1 จำนวน  29,425 บาท</t>
  </si>
  <si>
    <t>งวดที่ 1 - 2 ตรวจรับงานเมื่อ 26 ธค.65 
อยู่ระหว่างเบิกจ่ายเงิน</t>
  </si>
  <si>
    <t>งานระบบลิฟต์และบันไดเลื่อนของอาคารศูนย์บริการของผลิตภัณฑ์สุขภาพเบ็ดเสร็จ</t>
  </si>
  <si>
    <t>บริษัท ไพโอเนียร์ ลิฟท์แอนด์ เครน จำกัด</t>
  </si>
  <si>
    <t>24 มิย. 65 
21 ธค. 65</t>
  </si>
  <si>
    <t>งวดที่ 1 = 7,080,000 บาท ส่งมอบงาน 21 ต.ค. 65
งวดที่ 2 = 10,620,000 บาท ส่งมอบงาน 21 ธ.ค. 65</t>
  </si>
  <si>
    <t>ติดตั้งลิฟต์เรียบร้อยแล้ว
เนื่องจากมีปัญหาการติดตั้งบันใดเลื่อน ทำให้ดำเนินงานล่าช้ากว่ากำหนด
จะส่งมอบงาน งวดที่ 1 พร้อมกับ งวดที่ 2</t>
  </si>
  <si>
    <t>งานระบบปรับอากาศและระบายอากาศของอาคารศูนย์บริการของผลิตภัณฑ์สุขภาพเบ็ดเสร็จ</t>
  </si>
  <si>
    <t>บริษัท แอร์โก้ โปร เทค จำกัด</t>
  </si>
  <si>
    <t>2 มิย. 65 
24 พย. 65</t>
  </si>
  <si>
    <t>งวดที่ 2 = 11,693,332.80 บาท 
ส่งมอบงาน 24 พ.ย. 65</t>
  </si>
  <si>
    <t>งวดที่ 2 อยู่ระหว่างดำเนินการก่อสร้าง  ล่าช้า เนื่องจาก ระบบปรับอากาศมีปัญหา
 อยู่ระหว่างทำหารือ ปรับงานเพิ่มลด</t>
  </si>
  <si>
    <t xml:space="preserve">งานตกแต่งภายในและครุภัณฑ์ติดตั้งกับที่ศูนย์บริการของผลิตภัณฑ์สุขภาพเบ็ดเสร็จ </t>
  </si>
  <si>
    <t>บริษัท อินเตอร์เฟอร์นิเจอร์ เอเชีย จำกัด</t>
  </si>
  <si>
    <t>23 มิย. 65 
12 มีค. 65</t>
  </si>
  <si>
    <t>งวดที่ 1 = 8,876,712 บาท ส่งมอบงาน 24 ส.ค. 65
งวดที่ 2 = 10,494,708 บาท ส่งมอบงาน 13 ต.ค. 65
งวดที่ 3 = 7,595,180 บาท ส่งมอบงาน 2 ธ.ค. 65
งวดที่ 4 = 9,604,068 บาท ส่งมอบงาน 20 ม.ค. 66
งวดที่ 5 = 12,909,332 บาท ส่งมอบงาน 12 มี.ค. 66</t>
  </si>
  <si>
    <t>งวดที่ 4 อยู่ระหว่างดำเนินการก่อสร้าง 
จะส่งมอบงานงวดที่ 1 ถึงงวดที่ 4 ภายในเดือน มกราคม 2566</t>
  </si>
  <si>
    <t>งานทำโรงจอดรถจักรยานยนต์ ด้านหลังอาคาร 7</t>
  </si>
  <si>
    <t>บริษัท ชนาโรจน์ ดีไซน์ จำกัด</t>
  </si>
  <si>
    <t>29 กย. 65 
28 พย. 65</t>
  </si>
  <si>
    <t xml:space="preserve">1 งวด = 336,000 บาท ส่งมอบงาน 28 พ.ย. 65
</t>
  </si>
  <si>
    <t>งบรายจ่ายอื่น (ค่าจ้างที่ปรึกษาโอนเปลี่ยนแปลง)</t>
  </si>
  <si>
    <t>รวมกันเงินไว้เบิกเหลื่อมปี (งบลงทุน)   จำนวน</t>
  </si>
  <si>
    <t>รวมกันเงินไว้เบิกเหลื่อมปี (งบรายจ่ายอื่น)   จำนวน</t>
  </si>
  <si>
    <t>รวมกันเงินไว้เบิกเหลื่อมปี  ทั้งสิ้น จำนวน</t>
  </si>
</sst>
</file>

<file path=xl/styles.xml><?xml version="1.0" encoding="utf-8"?>
<styleSheet xmlns="http://schemas.openxmlformats.org/spreadsheetml/2006/main">
  <numFmts count="12">
    <numFmt numFmtId="43" formatCode="_-* #,##0.00_-;\-* #,##0.00_-;_-* &quot;-&quot;??_-;_-@_-"/>
    <numFmt numFmtId="187" formatCode="#,##0.00;\(#,##0.00\)"/>
    <numFmt numFmtId="188" formatCode="#,##0;\(#,##0\)"/>
    <numFmt numFmtId="189" formatCode="_-* #,##0_-;\-* #,##0_-;_-* &quot;-&quot;??_-;_-@_-"/>
    <numFmt numFmtId="190" formatCode="00000"/>
    <numFmt numFmtId="191" formatCode="_-* #,##0.0_-;\-* #,##0.0_-;_-* &quot;-&quot;??_-;_-@_-"/>
    <numFmt numFmtId="192" formatCode="#,##0.00%;\(#,##0.00%\)"/>
    <numFmt numFmtId="193" formatCode="_(* #,##0.00_);_(* \(#,##0.00\);_(* &quot;-&quot;??_);_(@_)"/>
    <numFmt numFmtId="194" formatCode="_(* #,##0_);_(* \(#,##0\);_(* &quot;-&quot;??_);_(@_)"/>
    <numFmt numFmtId="195" formatCode="#,##0.00_);\(#,##0.00\)"/>
    <numFmt numFmtId="196" formatCode="d\ ดดดด\ bbbb"/>
    <numFmt numFmtId="197" formatCode="d\ ดดด\ bbbb"/>
  </numFmts>
  <fonts count="7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1"/>
      <color theme="1"/>
      <name val="TH SarabunPSK"/>
      <family val="2"/>
    </font>
    <font>
      <b/>
      <sz val="11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sz val="16"/>
      <name val="Wingdings 2"/>
      <family val="1"/>
      <charset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b/>
      <sz val="11"/>
      <color theme="1"/>
      <name val="Tahoma"/>
      <family val="2"/>
      <charset val="222"/>
      <scheme val="minor"/>
    </font>
    <font>
      <sz val="11"/>
      <name val="TH SarabunPSK"/>
      <family val="2"/>
    </font>
    <font>
      <sz val="11"/>
      <name val="Tahoma"/>
      <family val="2"/>
      <charset val="222"/>
      <scheme val="minor"/>
    </font>
    <font>
      <b/>
      <u/>
      <sz val="16"/>
      <name val="TH SarabunPSK"/>
      <family val="2"/>
    </font>
    <font>
      <u/>
      <sz val="16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  <font>
      <sz val="14"/>
      <name val="Wingdings"/>
      <charset val="2"/>
    </font>
    <font>
      <sz val="14"/>
      <color rgb="FFFF0000"/>
      <name val="TH SarabunPSK"/>
      <family val="2"/>
    </font>
    <font>
      <sz val="14"/>
      <color indexed="10"/>
      <name val="TH SarabunPSK"/>
      <family val="2"/>
    </font>
    <font>
      <b/>
      <sz val="14"/>
      <name val="Wingdings"/>
      <charset val="2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sz val="16"/>
      <name val="Arial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6"/>
      <color rgb="FF0000FF"/>
      <name val="TH SarabunPSK"/>
      <family val="2"/>
    </font>
    <font>
      <b/>
      <sz val="16"/>
      <color indexed="12"/>
      <name val="Wingdings 3"/>
      <family val="1"/>
      <charset val="2"/>
    </font>
    <font>
      <b/>
      <sz val="13"/>
      <color rgb="FF0000FF"/>
      <name val="TH SarabunPSK"/>
      <family val="2"/>
    </font>
    <font>
      <b/>
      <sz val="12"/>
      <color rgb="FF0000FF"/>
      <name val="TH SarabunPSK"/>
      <family val="2"/>
    </font>
    <font>
      <sz val="16"/>
      <color rgb="FF0000FF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0"/>
      <name val="TH SarabunPSK"/>
      <family val="2"/>
    </font>
    <font>
      <sz val="13"/>
      <color theme="0"/>
      <name val="TH SarabunPSK"/>
      <family val="2"/>
    </font>
    <font>
      <sz val="16"/>
      <color theme="0" tint="-0.499984740745262"/>
      <name val="TH SarabunPSK"/>
      <family val="2"/>
    </font>
    <font>
      <b/>
      <sz val="12"/>
      <color theme="0" tint="-0.499984740745262"/>
      <name val="TH SarabunPSK"/>
      <family val="2"/>
    </font>
    <font>
      <b/>
      <sz val="16"/>
      <color theme="0" tint="-0.499984740745262"/>
      <name val="TH SarabunPSK"/>
      <family val="2"/>
    </font>
    <font>
      <b/>
      <u/>
      <sz val="14"/>
      <color indexed="9"/>
      <name val="TH SarabunPSK"/>
      <family val="2"/>
    </font>
    <font>
      <b/>
      <sz val="14"/>
      <color indexed="9"/>
      <name val="TH SarabunPSK"/>
      <family val="2"/>
    </font>
    <font>
      <b/>
      <sz val="14"/>
      <color theme="0"/>
      <name val="Wingdings"/>
      <charset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0"/>
      <color rgb="FF0000FF"/>
      <name val="TH SarabunPSK"/>
      <family val="2"/>
    </font>
    <font>
      <sz val="12"/>
      <name val="TH SarabunPSK"/>
      <family val="2"/>
    </font>
    <font>
      <sz val="12"/>
      <color rgb="FF0000FF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b/>
      <sz val="10"/>
      <color theme="0" tint="-0.34998626667073579"/>
      <name val="TH SarabunPSK"/>
      <family val="2"/>
    </font>
    <font>
      <sz val="12"/>
      <color theme="0"/>
      <name val="TH SarabunPSK"/>
      <family val="2"/>
    </font>
    <font>
      <b/>
      <sz val="10"/>
      <color indexed="23"/>
      <name val="TH SarabunPSK"/>
      <family val="2"/>
    </font>
    <font>
      <b/>
      <sz val="11"/>
      <color theme="0" tint="-0.34998626667073579"/>
      <name val="TH SarabunPSK"/>
      <family val="2"/>
    </font>
    <font>
      <sz val="11"/>
      <color rgb="FFFF0000"/>
      <name val="TH SarabunPSK"/>
      <family val="2"/>
    </font>
    <font>
      <sz val="11"/>
      <color theme="1"/>
      <name val="TH SarabunPSK"/>
      <family val="2"/>
    </font>
    <font>
      <b/>
      <sz val="11"/>
      <color rgb="FFFF0000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rgb="FFFF0000"/>
      <name val="TH SarabunPSK"/>
      <family val="2"/>
    </font>
    <font>
      <b/>
      <sz val="15"/>
      <color indexed="8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0" fontId="13" fillId="0" borderId="0"/>
    <xf numFmtId="0" fontId="1" fillId="0" borderId="0"/>
    <xf numFmtId="0" fontId="9" fillId="0" borderId="0"/>
  </cellStyleXfs>
  <cellXfs count="1170">
    <xf numFmtId="0" fontId="0" fillId="0" borderId="0" xfId="0"/>
    <xf numFmtId="0" fontId="3" fillId="0" borderId="0" xfId="0" applyFont="1"/>
    <xf numFmtId="43" fontId="3" fillId="0" borderId="0" xfId="0" applyNumberFormat="1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5" fillId="0" borderId="3" xfId="0" applyFont="1" applyFill="1" applyBorder="1"/>
    <xf numFmtId="0" fontId="6" fillId="2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/>
    </xf>
    <xf numFmtId="43" fontId="4" fillId="7" borderId="0" xfId="1" applyFont="1" applyFill="1" applyAlignment="1">
      <alignment horizontal="center" vertical="top"/>
    </xf>
    <xf numFmtId="43" fontId="4" fillId="0" borderId="0" xfId="1" applyFont="1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4" fillId="6" borderId="0" xfId="0" applyFont="1" applyFill="1" applyAlignment="1">
      <alignment horizontal="center" vertical="top"/>
    </xf>
    <xf numFmtId="0" fontId="4" fillId="7" borderId="0" xfId="0" applyFont="1" applyFill="1" applyAlignment="1">
      <alignment horizontal="center" vertical="top"/>
    </xf>
    <xf numFmtId="0" fontId="4" fillId="8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 wrapText="1"/>
    </xf>
    <xf numFmtId="0" fontId="5" fillId="0" borderId="0" xfId="0" applyFont="1"/>
    <xf numFmtId="43" fontId="4" fillId="0" borderId="0" xfId="0" applyNumberFormat="1" applyFont="1" applyFill="1" applyBorder="1" applyAlignment="1">
      <alignment horizontal="center" vertical="top"/>
    </xf>
    <xf numFmtId="0" fontId="4" fillId="9" borderId="5" xfId="0" applyFont="1" applyFill="1" applyBorder="1" applyAlignment="1">
      <alignment horizontal="center" vertical="top"/>
    </xf>
    <xf numFmtId="43" fontId="4" fillId="9" borderId="5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/>
    </xf>
    <xf numFmtId="43" fontId="4" fillId="0" borderId="5" xfId="0" applyNumberFormat="1" applyFont="1" applyFill="1" applyBorder="1" applyAlignment="1">
      <alignment horizontal="center" vertical="top"/>
    </xf>
    <xf numFmtId="0" fontId="5" fillId="0" borderId="0" xfId="0" applyFont="1" applyFill="1"/>
    <xf numFmtId="0" fontId="5" fillId="0" borderId="5" xfId="0" applyFont="1" applyBorder="1"/>
    <xf numFmtId="43" fontId="5" fillId="0" borderId="5" xfId="1" applyFont="1" applyBorder="1" applyAlignment="1">
      <alignment vertical="top"/>
    </xf>
    <xf numFmtId="0" fontId="4" fillId="0" borderId="5" xfId="0" applyFont="1" applyBorder="1"/>
    <xf numFmtId="43" fontId="4" fillId="0" borderId="5" xfId="1" applyFont="1" applyBorder="1" applyAlignment="1">
      <alignment vertical="top"/>
    </xf>
    <xf numFmtId="0" fontId="4" fillId="0" borderId="0" xfId="0" applyFont="1"/>
    <xf numFmtId="0" fontId="4" fillId="9" borderId="5" xfId="0" applyFont="1" applyFill="1" applyBorder="1" applyAlignment="1">
      <alignment horizontal="center"/>
    </xf>
    <xf numFmtId="43" fontId="4" fillId="9" borderId="5" xfId="0" applyNumberFormat="1" applyFont="1" applyFill="1" applyBorder="1" applyAlignment="1">
      <alignment horizontal="center"/>
    </xf>
    <xf numFmtId="43" fontId="4" fillId="0" borderId="5" xfId="0" applyNumberFormat="1" applyFont="1" applyBorder="1"/>
    <xf numFmtId="43" fontId="5" fillId="0" borderId="5" xfId="0" applyNumberFormat="1" applyFont="1" applyBorder="1"/>
    <xf numFmtId="43" fontId="5" fillId="0" borderId="5" xfId="1" applyFont="1" applyBorder="1"/>
    <xf numFmtId="43" fontId="4" fillId="0" borderId="5" xfId="1" applyFont="1" applyBorder="1"/>
    <xf numFmtId="43" fontId="4" fillId="0" borderId="0" xfId="1" applyFont="1"/>
    <xf numFmtId="0" fontId="3" fillId="0" borderId="0" xfId="0" applyFont="1" applyAlignment="1">
      <alignment horizontal="center"/>
    </xf>
    <xf numFmtId="0" fontId="2" fillId="0" borderId="0" xfId="0" applyFont="1"/>
    <xf numFmtId="39" fontId="4" fillId="0" borderId="3" xfId="1" applyNumberFormat="1" applyFont="1" applyFill="1" applyBorder="1" applyAlignment="1">
      <alignment horizontal="center" vertical="top" wrapText="1"/>
    </xf>
    <xf numFmtId="43" fontId="3" fillId="0" borderId="3" xfId="1" applyFont="1" applyBorder="1"/>
    <xf numFmtId="0" fontId="5" fillId="0" borderId="3" xfId="0" applyFont="1" applyFill="1" applyBorder="1" applyAlignment="1">
      <alignment horizontal="center"/>
    </xf>
    <xf numFmtId="0" fontId="3" fillId="0" borderId="3" xfId="0" applyFont="1" applyBorder="1"/>
    <xf numFmtId="43" fontId="2" fillId="0" borderId="3" xfId="1" applyFont="1" applyBorder="1"/>
    <xf numFmtId="43" fontId="2" fillId="0" borderId="9" xfId="0" applyNumberFormat="1" applyFont="1" applyBorder="1"/>
    <xf numFmtId="43" fontId="4" fillId="0" borderId="3" xfId="1" applyFont="1" applyBorder="1"/>
    <xf numFmtId="43" fontId="5" fillId="0" borderId="3" xfId="1" applyFont="1" applyBorder="1"/>
    <xf numFmtId="43" fontId="4" fillId="0" borderId="3" xfId="1" applyFont="1" applyBorder="1" applyAlignment="1">
      <alignment horizontal="center"/>
    </xf>
    <xf numFmtId="43" fontId="4" fillId="0" borderId="0" xfId="1" applyFont="1" applyBorder="1"/>
    <xf numFmtId="43" fontId="3" fillId="0" borderId="3" xfId="0" applyNumberFormat="1" applyFont="1" applyBorder="1"/>
    <xf numFmtId="43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43" fontId="4" fillId="0" borderId="0" xfId="0" applyNumberFormat="1" applyFont="1" applyBorder="1" applyAlignment="1"/>
    <xf numFmtId="49" fontId="4" fillId="0" borderId="14" xfId="0" applyNumberFormat="1" applyFont="1" applyBorder="1" applyAlignment="1">
      <alignment horizontal="center"/>
    </xf>
    <xf numFmtId="49" fontId="4" fillId="0" borderId="0" xfId="0" applyNumberFormat="1" applyFont="1" applyBorder="1" applyAlignment="1"/>
    <xf numFmtId="49" fontId="0" fillId="0" borderId="0" xfId="0" applyNumberFormat="1"/>
    <xf numFmtId="0" fontId="4" fillId="0" borderId="0" xfId="0" applyFont="1" applyBorder="1" applyAlignment="1"/>
    <xf numFmtId="0" fontId="0" fillId="0" borderId="0" xfId="0" applyBorder="1"/>
    <xf numFmtId="49" fontId="0" fillId="0" borderId="0" xfId="0" applyNumberFormat="1" applyBorder="1"/>
    <xf numFmtId="0" fontId="7" fillId="0" borderId="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/>
    </xf>
    <xf numFmtId="43" fontId="4" fillId="0" borderId="3" xfId="1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4" fillId="0" borderId="0" xfId="2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2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10" borderId="3" xfId="0" applyFont="1" applyFill="1" applyBorder="1" applyAlignment="1">
      <alignment horizontal="center" vertical="top"/>
    </xf>
    <xf numFmtId="0" fontId="4" fillId="10" borderId="3" xfId="0" applyFont="1" applyFill="1" applyBorder="1" applyAlignment="1">
      <alignment horizontal="center" vertical="top" wrapText="1"/>
    </xf>
    <xf numFmtId="0" fontId="10" fillId="10" borderId="3" xfId="0" applyFont="1" applyFill="1" applyBorder="1" applyAlignment="1">
      <alignment horizontal="center" vertical="top"/>
    </xf>
    <xf numFmtId="43" fontId="10" fillId="10" borderId="3" xfId="1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3" xfId="2" applyFont="1" applyFill="1" applyBorder="1" applyAlignment="1">
      <alignment horizontal="left" vertical="top"/>
    </xf>
    <xf numFmtId="43" fontId="4" fillId="0" borderId="3" xfId="2" applyNumberFormat="1" applyFont="1" applyFill="1" applyBorder="1" applyAlignment="1">
      <alignment horizontal="left" vertical="top"/>
    </xf>
    <xf numFmtId="0" fontId="4" fillId="11" borderId="3" xfId="2" applyFont="1" applyFill="1" applyBorder="1" applyAlignment="1">
      <alignment horizontal="left" vertical="top"/>
    </xf>
    <xf numFmtId="43" fontId="4" fillId="11" borderId="3" xfId="2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vertical="top"/>
    </xf>
    <xf numFmtId="0" fontId="4" fillId="0" borderId="3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vertical="top" wrapText="1"/>
    </xf>
    <xf numFmtId="43" fontId="4" fillId="0" borderId="3" xfId="2" applyNumberFormat="1" applyFont="1" applyFill="1" applyBorder="1" applyAlignment="1">
      <alignment vertical="top" wrapText="1"/>
    </xf>
    <xf numFmtId="43" fontId="4" fillId="0" borderId="3" xfId="0" applyNumberFormat="1" applyFont="1" applyFill="1" applyBorder="1" applyAlignment="1">
      <alignment vertical="top"/>
    </xf>
    <xf numFmtId="0" fontId="11" fillId="0" borderId="3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vertical="top" wrapText="1"/>
    </xf>
    <xf numFmtId="43" fontId="5" fillId="0" borderId="3" xfId="0" applyNumberFormat="1" applyFont="1" applyFill="1" applyBorder="1" applyAlignment="1">
      <alignment vertical="top"/>
    </xf>
    <xf numFmtId="0" fontId="5" fillId="0" borderId="3" xfId="2" applyNumberFormat="1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horizontal="left" vertical="top" wrapText="1"/>
    </xf>
    <xf numFmtId="189" fontId="5" fillId="0" borderId="3" xfId="2" applyNumberFormat="1" applyFont="1" applyFill="1" applyBorder="1" applyAlignment="1">
      <alignment vertical="top" wrapText="1"/>
    </xf>
    <xf numFmtId="0" fontId="5" fillId="0" borderId="3" xfId="2" applyNumberFormat="1" applyFont="1" applyFill="1" applyBorder="1" applyAlignment="1">
      <alignment vertical="top" wrapText="1"/>
    </xf>
    <xf numFmtId="43" fontId="4" fillId="5" borderId="3" xfId="2" applyNumberFormat="1" applyFont="1" applyFill="1" applyBorder="1" applyAlignment="1">
      <alignment vertical="top" wrapText="1"/>
    </xf>
    <xf numFmtId="0" fontId="4" fillId="0" borderId="3" xfId="2" applyFont="1" applyFill="1" applyBorder="1" applyAlignment="1">
      <alignment horizontal="center" vertical="top"/>
    </xf>
    <xf numFmtId="43" fontId="4" fillId="0" borderId="3" xfId="2" applyNumberFormat="1" applyFont="1" applyFill="1" applyBorder="1" applyAlignment="1">
      <alignment vertical="top"/>
    </xf>
    <xf numFmtId="0" fontId="4" fillId="12" borderId="3" xfId="2" applyFont="1" applyFill="1" applyBorder="1" applyAlignment="1">
      <alignment horizontal="left" vertical="top"/>
    </xf>
    <xf numFmtId="43" fontId="4" fillId="12" borderId="3" xfId="2" applyNumberFormat="1" applyFont="1" applyFill="1" applyBorder="1" applyAlignment="1">
      <alignment horizontal="left" vertical="top"/>
    </xf>
    <xf numFmtId="43" fontId="4" fillId="0" borderId="3" xfId="1" applyFont="1" applyFill="1" applyBorder="1" applyAlignment="1">
      <alignment vertical="top" wrapText="1"/>
    </xf>
    <xf numFmtId="43" fontId="4" fillId="0" borderId="3" xfId="1" applyFont="1" applyFill="1" applyBorder="1" applyAlignment="1">
      <alignment horizontal="center" vertical="top" wrapText="1"/>
    </xf>
    <xf numFmtId="43" fontId="4" fillId="0" borderId="3" xfId="1" applyFont="1" applyFill="1" applyBorder="1" applyAlignment="1">
      <alignment horizontal="right" vertical="top" wrapText="1"/>
    </xf>
    <xf numFmtId="43" fontId="5" fillId="0" borderId="3" xfId="1" applyFont="1" applyFill="1" applyBorder="1" applyAlignment="1">
      <alignment vertical="top" wrapText="1"/>
    </xf>
    <xf numFmtId="43" fontId="5" fillId="0" borderId="3" xfId="1" applyFont="1" applyFill="1" applyBorder="1" applyAlignment="1">
      <alignment horizontal="right" vertical="top" wrapText="1"/>
    </xf>
    <xf numFmtId="43" fontId="4" fillId="2" borderId="3" xfId="2" applyNumberFormat="1" applyFont="1" applyFill="1" applyBorder="1" applyAlignment="1">
      <alignment vertical="top" wrapText="1"/>
    </xf>
    <xf numFmtId="0" fontId="4" fillId="0" borderId="3" xfId="2" applyFont="1" applyFill="1" applyBorder="1" applyAlignment="1">
      <alignment vertical="top"/>
    </xf>
    <xf numFmtId="190" fontId="4" fillId="0" borderId="3" xfId="2" applyNumberFormat="1" applyFont="1" applyFill="1" applyBorder="1" applyAlignment="1">
      <alignment vertical="top"/>
    </xf>
    <xf numFmtId="43" fontId="4" fillId="0" borderId="3" xfId="3" applyFont="1" applyFill="1" applyBorder="1" applyAlignment="1">
      <alignment horizontal="right" vertical="top"/>
    </xf>
    <xf numFmtId="189" fontId="4" fillId="0" borderId="3" xfId="3" applyNumberFormat="1" applyFont="1" applyFill="1" applyBorder="1" applyAlignment="1">
      <alignment horizontal="right" vertical="top"/>
    </xf>
    <xf numFmtId="0" fontId="5" fillId="0" borderId="3" xfId="2" applyFont="1" applyFill="1" applyBorder="1" applyAlignment="1">
      <alignment horizontal="left" vertical="top" wrapText="1"/>
    </xf>
    <xf numFmtId="43" fontId="5" fillId="0" borderId="3" xfId="1" applyFont="1" applyFill="1" applyBorder="1" applyAlignment="1">
      <alignment horizontal="center" vertical="top" wrapText="1"/>
    </xf>
    <xf numFmtId="43" fontId="4" fillId="0" borderId="3" xfId="2" applyNumberFormat="1" applyFont="1" applyFill="1" applyBorder="1" applyAlignment="1">
      <alignment horizontal="center" vertical="top"/>
    </xf>
    <xf numFmtId="43" fontId="5" fillId="0" borderId="3" xfId="2" applyNumberFormat="1" applyFont="1" applyFill="1" applyBorder="1" applyAlignment="1">
      <alignment horizontal="center" vertical="top"/>
    </xf>
    <xf numFmtId="43" fontId="4" fillId="13" borderId="9" xfId="0" applyNumberFormat="1" applyFont="1" applyFill="1" applyBorder="1" applyAlignment="1">
      <alignment vertical="top"/>
    </xf>
    <xf numFmtId="43" fontId="5" fillId="0" borderId="0" xfId="1" applyFont="1" applyAlignment="1">
      <alignment vertical="top"/>
    </xf>
    <xf numFmtId="43" fontId="5" fillId="0" borderId="0" xfId="0" applyNumberFormat="1" applyFont="1" applyAlignment="1">
      <alignment vertical="top"/>
    </xf>
    <xf numFmtId="0" fontId="4" fillId="0" borderId="14" xfId="0" applyFont="1" applyBorder="1" applyAlignment="1">
      <alignment horizontal="center" vertical="top"/>
    </xf>
    <xf numFmtId="0" fontId="2" fillId="0" borderId="0" xfId="0" applyFont="1" applyBorder="1" applyAlignment="1"/>
    <xf numFmtId="43" fontId="4" fillId="10" borderId="3" xfId="1" applyFont="1" applyFill="1" applyBorder="1" applyAlignment="1">
      <alignment horizontal="center" vertical="top"/>
    </xf>
    <xf numFmtId="43" fontId="4" fillId="10" borderId="3" xfId="1" applyFont="1" applyFill="1" applyBorder="1" applyAlignment="1">
      <alignment horizontal="center" vertical="top" wrapText="1"/>
    </xf>
    <xf numFmtId="43" fontId="4" fillId="0" borderId="14" xfId="1" applyFont="1" applyBorder="1" applyAlignment="1">
      <alignment horizontal="center" vertical="top"/>
    </xf>
    <xf numFmtId="43" fontId="2" fillId="14" borderId="15" xfId="1" applyFont="1" applyFill="1" applyBorder="1" applyAlignment="1">
      <alignment vertical="top"/>
    </xf>
    <xf numFmtId="43" fontId="3" fillId="14" borderId="3" xfId="1" applyFont="1" applyFill="1" applyBorder="1" applyAlignment="1" applyProtection="1">
      <alignment horizontal="center" vertical="top" shrinkToFit="1"/>
      <protection locked="0"/>
    </xf>
    <xf numFmtId="43" fontId="3" fillId="0" borderId="0" xfId="1" applyFont="1" applyAlignment="1">
      <alignment vertical="top"/>
    </xf>
    <xf numFmtId="43" fontId="5" fillId="0" borderId="3" xfId="1" applyFont="1" applyFill="1" applyBorder="1" applyAlignment="1">
      <alignment horizontal="center" vertical="top"/>
    </xf>
    <xf numFmtId="43" fontId="5" fillId="0" borderId="3" xfId="1" applyFont="1" applyFill="1" applyBorder="1" applyAlignment="1" applyProtection="1">
      <alignment vertical="top" wrapText="1"/>
      <protection locked="0"/>
    </xf>
    <xf numFmtId="43" fontId="5" fillId="0" borderId="3" xfId="1" applyFont="1" applyFill="1" applyBorder="1" applyAlignment="1">
      <alignment horizontal="left" vertical="top" wrapText="1"/>
    </xf>
    <xf numFmtId="43" fontId="4" fillId="0" borderId="3" xfId="1" applyFont="1" applyFill="1" applyBorder="1" applyAlignment="1">
      <alignment horizontal="center" vertical="top"/>
    </xf>
    <xf numFmtId="191" fontId="5" fillId="0" borderId="3" xfId="1" applyNumberFormat="1" applyFont="1" applyFill="1" applyBorder="1" applyAlignment="1">
      <alignment horizontal="center" vertical="top" wrapText="1"/>
    </xf>
    <xf numFmtId="191" fontId="5" fillId="0" borderId="3" xfId="1" applyNumberFormat="1" applyFont="1" applyFill="1" applyBorder="1" applyAlignment="1">
      <alignment horizontal="center" vertical="top"/>
    </xf>
    <xf numFmtId="191" fontId="5" fillId="0" borderId="3" xfId="1" applyNumberFormat="1" applyFont="1" applyFill="1" applyBorder="1" applyAlignment="1">
      <alignment horizontal="right" vertical="top"/>
    </xf>
    <xf numFmtId="189" fontId="4" fillId="0" borderId="14" xfId="1" applyNumberFormat="1" applyFont="1" applyBorder="1" applyAlignment="1">
      <alignment horizontal="center" vertical="top"/>
    </xf>
    <xf numFmtId="189" fontId="4" fillId="10" borderId="3" xfId="1" applyNumberFormat="1" applyFont="1" applyFill="1" applyBorder="1" applyAlignment="1">
      <alignment horizontal="center" vertical="top"/>
    </xf>
    <xf numFmtId="189" fontId="2" fillId="14" borderId="15" xfId="1" applyNumberFormat="1" applyFont="1" applyFill="1" applyBorder="1" applyAlignment="1">
      <alignment vertical="top"/>
    </xf>
    <xf numFmtId="189" fontId="5" fillId="0" borderId="3" xfId="1" applyNumberFormat="1" applyFont="1" applyFill="1" applyBorder="1" applyAlignment="1">
      <alignment horizontal="center" vertical="top" wrapText="1"/>
    </xf>
    <xf numFmtId="189" fontId="5" fillId="0" borderId="3" xfId="1" applyNumberFormat="1" applyFont="1" applyFill="1" applyBorder="1" applyAlignment="1">
      <alignment horizontal="center" vertical="top"/>
    </xf>
    <xf numFmtId="189" fontId="5" fillId="0" borderId="3" xfId="1" applyNumberFormat="1" applyFont="1" applyFill="1" applyBorder="1" applyAlignment="1">
      <alignment horizontal="right" vertical="top"/>
    </xf>
    <xf numFmtId="189" fontId="3" fillId="0" borderId="0" xfId="1" applyNumberFormat="1" applyFont="1" applyAlignment="1">
      <alignment vertical="top"/>
    </xf>
    <xf numFmtId="189" fontId="5" fillId="0" borderId="3" xfId="1" applyNumberFormat="1" applyFont="1" applyFill="1" applyBorder="1" applyAlignment="1">
      <alignment vertical="top"/>
    </xf>
    <xf numFmtId="43" fontId="4" fillId="0" borderId="3" xfId="1" applyFont="1" applyFill="1" applyBorder="1" applyAlignment="1">
      <alignment horizontal="center" vertical="top" shrinkToFit="1"/>
    </xf>
    <xf numFmtId="43" fontId="5" fillId="0" borderId="3" xfId="1" applyFont="1" applyFill="1" applyBorder="1" applyAlignment="1">
      <alignment vertical="top"/>
    </xf>
    <xf numFmtId="43" fontId="4" fillId="0" borderId="3" xfId="1" applyFont="1" applyFill="1" applyBorder="1" applyAlignment="1" applyProtection="1">
      <alignment horizontal="center" vertical="top" shrinkToFit="1"/>
      <protection locked="0"/>
    </xf>
    <xf numFmtId="189" fontId="4" fillId="0" borderId="3" xfId="1" applyNumberFormat="1" applyFont="1" applyFill="1" applyBorder="1" applyAlignment="1">
      <alignment horizontal="left" vertical="top"/>
    </xf>
    <xf numFmtId="43" fontId="4" fillId="0" borderId="3" xfId="1" applyFont="1" applyFill="1" applyBorder="1" applyAlignment="1">
      <alignment horizontal="left" vertical="top"/>
    </xf>
    <xf numFmtId="189" fontId="4" fillId="0" borderId="3" xfId="1" applyNumberFormat="1" applyFont="1" applyFill="1" applyBorder="1" applyAlignment="1">
      <alignment horizontal="right" vertical="top"/>
    </xf>
    <xf numFmtId="43" fontId="2" fillId="0" borderId="0" xfId="1" applyFont="1" applyAlignment="1">
      <alignment vertical="top"/>
    </xf>
    <xf numFmtId="43" fontId="5" fillId="0" borderId="3" xfId="1" applyFont="1" applyFill="1" applyBorder="1" applyAlignment="1">
      <alignment horizontal="center" vertical="top" shrinkToFit="1"/>
    </xf>
    <xf numFmtId="43" fontId="5" fillId="0" borderId="3" xfId="1" applyFont="1" applyFill="1" applyBorder="1" applyAlignment="1" applyProtection="1">
      <alignment horizontal="center" vertical="top" shrinkToFit="1"/>
      <protection locked="0"/>
    </xf>
    <xf numFmtId="189" fontId="2" fillId="0" borderId="9" xfId="1" applyNumberFormat="1" applyFont="1" applyBorder="1" applyAlignment="1">
      <alignment vertical="top"/>
    </xf>
    <xf numFmtId="43" fontId="2" fillId="0" borderId="9" xfId="1" applyFont="1" applyBorder="1" applyAlignment="1">
      <alignment horizontal="center" vertical="top"/>
    </xf>
    <xf numFmtId="43" fontId="2" fillId="0" borderId="9" xfId="1" applyFont="1" applyBorder="1" applyAlignment="1">
      <alignment vertical="top"/>
    </xf>
    <xf numFmtId="43" fontId="4" fillId="6" borderId="20" xfId="0" applyNumberFormat="1" applyFont="1" applyFill="1" applyBorder="1" applyAlignment="1">
      <alignment horizontal="center" vertical="top" wrapText="1"/>
    </xf>
    <xf numFmtId="43" fontId="4" fillId="5" borderId="2" xfId="0" applyNumberFormat="1" applyFont="1" applyFill="1" applyBorder="1" applyAlignment="1">
      <alignment horizontal="center" vertical="top" wrapText="1"/>
    </xf>
    <xf numFmtId="43" fontId="4" fillId="10" borderId="21" xfId="0" applyNumberFormat="1" applyFont="1" applyFill="1" applyBorder="1" applyAlignment="1">
      <alignment horizontal="center" vertical="top" wrapText="1"/>
    </xf>
    <xf numFmtId="43" fontId="4" fillId="6" borderId="22" xfId="0" applyNumberFormat="1" applyFont="1" applyFill="1" applyBorder="1" applyAlignment="1">
      <alignment horizontal="center" vertical="top" wrapText="1"/>
    </xf>
    <xf numFmtId="43" fontId="4" fillId="0" borderId="15" xfId="1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7" xfId="0" applyFont="1" applyBorder="1"/>
    <xf numFmtId="43" fontId="5" fillId="0" borderId="15" xfId="1" applyFont="1" applyBorder="1"/>
    <xf numFmtId="43" fontId="3" fillId="0" borderId="23" xfId="0" applyNumberFormat="1" applyFont="1" applyBorder="1"/>
    <xf numFmtId="43" fontId="3" fillId="0" borderId="24" xfId="0" applyNumberFormat="1" applyFont="1" applyBorder="1"/>
    <xf numFmtId="43" fontId="3" fillId="0" borderId="7" xfId="0" applyNumberFormat="1" applyFont="1" applyBorder="1"/>
    <xf numFmtId="43" fontId="4" fillId="0" borderId="15" xfId="1" applyFont="1" applyBorder="1" applyAlignment="1">
      <alignment horizontal="center"/>
    </xf>
    <xf numFmtId="43" fontId="2" fillId="0" borderId="23" xfId="0" applyNumberFormat="1" applyFont="1" applyBorder="1"/>
    <xf numFmtId="43" fontId="2" fillId="0" borderId="24" xfId="0" applyNumberFormat="1" applyFont="1" applyBorder="1"/>
    <xf numFmtId="43" fontId="5" fillId="0" borderId="15" xfId="1" applyFont="1" applyBorder="1" applyAlignment="1">
      <alignment horizontal="center"/>
    </xf>
    <xf numFmtId="43" fontId="3" fillId="0" borderId="27" xfId="0" applyNumberFormat="1" applyFont="1" applyBorder="1"/>
    <xf numFmtId="43" fontId="3" fillId="0" borderId="25" xfId="0" applyNumberFormat="1" applyFont="1" applyBorder="1"/>
    <xf numFmtId="43" fontId="3" fillId="0" borderId="26" xfId="0" applyNumberFormat="1" applyFont="1" applyBorder="1"/>
    <xf numFmtId="0" fontId="4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43" fontId="4" fillId="0" borderId="21" xfId="0" applyNumberFormat="1" applyFont="1" applyFill="1" applyBorder="1" applyAlignment="1">
      <alignment horizontal="center" vertical="top" wrapText="1"/>
    </xf>
    <xf numFmtId="0" fontId="4" fillId="0" borderId="0" xfId="2" applyFont="1" applyAlignment="1">
      <alignment wrapText="1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88" fontId="4" fillId="0" borderId="0" xfId="1" applyNumberFormat="1" applyFont="1" applyFill="1" applyBorder="1" applyAlignment="1">
      <alignment horizontal="center" wrapText="1"/>
    </xf>
    <xf numFmtId="187" fontId="4" fillId="0" borderId="0" xfId="1" applyNumberFormat="1" applyFont="1" applyFill="1" applyBorder="1" applyAlignment="1">
      <alignment horizontal="center" wrapText="1"/>
    </xf>
    <xf numFmtId="43" fontId="4" fillId="0" borderId="0" xfId="0" applyNumberFormat="1" applyFont="1" applyFill="1" applyBorder="1" applyAlignment="1">
      <alignment horizontal="center" wrapText="1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3" xfId="2" applyFont="1" applyFill="1" applyBorder="1" applyAlignment="1">
      <alignment horizontal="left"/>
    </xf>
    <xf numFmtId="43" fontId="4" fillId="0" borderId="3" xfId="2" applyNumberFormat="1" applyFont="1" applyFill="1" applyBorder="1" applyAlignment="1">
      <alignment horizontal="left"/>
    </xf>
    <xf numFmtId="43" fontId="4" fillId="0" borderId="0" xfId="2" applyNumberFormat="1" applyFont="1" applyFill="1" applyBorder="1" applyAlignment="1">
      <alignment horizontal="left"/>
    </xf>
    <xf numFmtId="0" fontId="4" fillId="5" borderId="3" xfId="2" applyFont="1" applyFill="1" applyBorder="1" applyAlignment="1">
      <alignment horizontal="left"/>
    </xf>
    <xf numFmtId="43" fontId="4" fillId="5" borderId="3" xfId="2" applyNumberFormat="1" applyFont="1" applyFill="1" applyBorder="1" applyAlignment="1">
      <alignment horizontal="left"/>
    </xf>
    <xf numFmtId="0" fontId="5" fillId="0" borderId="0" xfId="0" applyFont="1" applyFill="1" applyAlignment="1"/>
    <xf numFmtId="0" fontId="5" fillId="0" borderId="3" xfId="2" applyFont="1" applyFill="1" applyBorder="1" applyAlignment="1">
      <alignment horizontal="center" wrapText="1"/>
    </xf>
    <xf numFmtId="0" fontId="5" fillId="0" borderId="3" xfId="2" applyFont="1" applyFill="1" applyBorder="1" applyAlignment="1">
      <alignment wrapText="1"/>
    </xf>
    <xf numFmtId="43" fontId="5" fillId="0" borderId="3" xfId="2" applyNumberFormat="1" applyFont="1" applyFill="1" applyBorder="1" applyAlignment="1">
      <alignment wrapText="1"/>
    </xf>
    <xf numFmtId="43" fontId="5" fillId="0" borderId="3" xfId="0" applyNumberFormat="1" applyFont="1" applyFill="1" applyBorder="1" applyAlignment="1"/>
    <xf numFmtId="43" fontId="5" fillId="0" borderId="3" xfId="2" applyNumberFormat="1" applyFont="1" applyFill="1" applyBorder="1" applyAlignment="1">
      <alignment horizontal="left"/>
    </xf>
    <xf numFmtId="0" fontId="5" fillId="0" borderId="3" xfId="2" applyFont="1" applyFill="1" applyBorder="1" applyAlignment="1">
      <alignment horizontal="left" wrapText="1"/>
    </xf>
    <xf numFmtId="43" fontId="4" fillId="5" borderId="3" xfId="2" applyNumberFormat="1" applyFont="1" applyFill="1" applyBorder="1" applyAlignment="1">
      <alignment wrapText="1"/>
    </xf>
    <xf numFmtId="43" fontId="4" fillId="5" borderId="3" xfId="0" applyNumberFormat="1" applyFont="1" applyFill="1" applyBorder="1" applyAlignment="1"/>
    <xf numFmtId="43" fontId="4" fillId="13" borderId="9" xfId="0" applyNumberFormat="1" applyFont="1" applyFill="1" applyBorder="1" applyAlignment="1"/>
    <xf numFmtId="43" fontId="4" fillId="13" borderId="9" xfId="2" applyNumberFormat="1" applyFont="1" applyFill="1" applyBorder="1" applyAlignment="1">
      <alignment horizontal="left"/>
    </xf>
    <xf numFmtId="43" fontId="5" fillId="0" borderId="0" xfId="1" applyFont="1" applyAlignment="1"/>
    <xf numFmtId="0" fontId="5" fillId="0" borderId="3" xfId="0" applyFont="1" applyBorder="1" applyAlignment="1"/>
    <xf numFmtId="43" fontId="5" fillId="0" borderId="3" xfId="0" applyNumberFormat="1" applyFont="1" applyBorder="1" applyAlignment="1"/>
    <xf numFmtId="188" fontId="4" fillId="0" borderId="3" xfId="1" applyNumberFormat="1" applyFont="1" applyFill="1" applyBorder="1" applyAlignment="1">
      <alignment horizontal="center" wrapText="1"/>
    </xf>
    <xf numFmtId="43" fontId="4" fillId="0" borderId="3" xfId="0" applyNumberFormat="1" applyFont="1" applyFill="1" applyBorder="1" applyAlignment="1">
      <alignment horizontal="center" wrapText="1"/>
    </xf>
    <xf numFmtId="188" fontId="5" fillId="0" borderId="3" xfId="1" applyNumberFormat="1" applyFont="1" applyFill="1" applyBorder="1" applyAlignment="1">
      <alignment horizontal="center" wrapText="1"/>
    </xf>
    <xf numFmtId="43" fontId="5" fillId="0" borderId="3" xfId="0" applyNumberFormat="1" applyFont="1" applyFill="1" applyBorder="1" applyAlignment="1">
      <alignment horizontal="center" wrapText="1"/>
    </xf>
    <xf numFmtId="187" fontId="4" fillId="0" borderId="3" xfId="1" applyNumberFormat="1" applyFont="1" applyFill="1" applyBorder="1" applyAlignment="1">
      <alignment horizontal="left" wrapText="1"/>
    </xf>
    <xf numFmtId="43" fontId="4" fillId="6" borderId="9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3" fontId="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49" fontId="4" fillId="0" borderId="14" xfId="0" applyNumberFormat="1" applyFont="1" applyBorder="1" applyAlignment="1">
      <alignment horizontal="left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14" fillId="0" borderId="0" xfId="0" applyFont="1"/>
    <xf numFmtId="43" fontId="2" fillId="0" borderId="0" xfId="0" applyNumberFormat="1" applyFont="1" applyBorder="1"/>
    <xf numFmtId="43" fontId="3" fillId="0" borderId="0" xfId="0" applyNumberFormat="1" applyFont="1" applyBorder="1"/>
    <xf numFmtId="43" fontId="5" fillId="0" borderId="3" xfId="0" applyNumberFormat="1" applyFont="1" applyBorder="1"/>
    <xf numFmtId="43" fontId="5" fillId="0" borderId="0" xfId="0" applyNumberFormat="1" applyFont="1"/>
    <xf numFmtId="43" fontId="4" fillId="0" borderId="3" xfId="0" applyNumberFormat="1" applyFont="1" applyBorder="1"/>
    <xf numFmtId="0" fontId="4" fillId="0" borderId="0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188" fontId="4" fillId="0" borderId="3" xfId="1" applyNumberFormat="1" applyFont="1" applyFill="1" applyBorder="1" applyAlignment="1">
      <alignment horizontal="center" vertical="top" wrapText="1"/>
    </xf>
    <xf numFmtId="188" fontId="5" fillId="0" borderId="3" xfId="1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/>
    </xf>
    <xf numFmtId="43" fontId="5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187" fontId="4" fillId="0" borderId="3" xfId="1" applyNumberFormat="1" applyFont="1" applyFill="1" applyBorder="1" applyAlignment="1">
      <alignment horizontal="left" vertical="top" wrapText="1"/>
    </xf>
    <xf numFmtId="43" fontId="4" fillId="6" borderId="9" xfId="0" applyNumberFormat="1" applyFont="1" applyFill="1" applyBorder="1" applyAlignment="1">
      <alignment horizontal="center" vertical="top" wrapText="1"/>
    </xf>
    <xf numFmtId="188" fontId="4" fillId="0" borderId="0" xfId="1" applyNumberFormat="1" applyFont="1" applyFill="1" applyBorder="1" applyAlignment="1">
      <alignment horizontal="center" vertical="top" wrapText="1"/>
    </xf>
    <xf numFmtId="187" fontId="4" fillId="0" borderId="0" xfId="1" applyNumberFormat="1" applyFont="1" applyFill="1" applyBorder="1" applyAlignment="1">
      <alignment horizontal="center" vertical="top" wrapText="1"/>
    </xf>
    <xf numFmtId="43" fontId="4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43" fontId="4" fillId="6" borderId="9" xfId="1" applyFont="1" applyFill="1" applyBorder="1" applyAlignment="1">
      <alignment horizontal="center" vertical="top" wrapText="1"/>
    </xf>
    <xf numFmtId="43" fontId="5" fillId="0" borderId="0" xfId="0" applyNumberFormat="1" applyFont="1" applyAlignment="1">
      <alignment horizontal="center" vertical="top"/>
    </xf>
    <xf numFmtId="43" fontId="5" fillId="0" borderId="0" xfId="0" applyNumberFormat="1" applyFont="1" applyAlignment="1">
      <alignment horizontal="center"/>
    </xf>
    <xf numFmtId="0" fontId="4" fillId="0" borderId="3" xfId="0" applyFont="1" applyBorder="1"/>
    <xf numFmtId="43" fontId="4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8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5" fillId="0" borderId="5" xfId="1" applyFont="1" applyFill="1" applyBorder="1"/>
    <xf numFmtId="43" fontId="4" fillId="0" borderId="5" xfId="1" applyFont="1" applyFill="1" applyBorder="1"/>
    <xf numFmtId="43" fontId="4" fillId="0" borderId="5" xfId="0" applyNumberFormat="1" applyFont="1" applyFill="1" applyBorder="1"/>
    <xf numFmtId="43" fontId="5" fillId="0" borderId="5" xfId="0" applyNumberFormat="1" applyFont="1" applyFill="1" applyBorder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43" fontId="3" fillId="0" borderId="9" xfId="0" applyNumberFormat="1" applyFont="1" applyBorder="1"/>
    <xf numFmtId="43" fontId="4" fillId="0" borderId="1" xfId="0" applyNumberFormat="1" applyFont="1" applyFill="1" applyBorder="1" applyAlignment="1">
      <alignment horizontal="center" vertical="top" wrapText="1"/>
    </xf>
    <xf numFmtId="188" fontId="4" fillId="0" borderId="3" xfId="1" applyNumberFormat="1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4" fillId="0" borderId="3" xfId="0" applyNumberFormat="1" applyFont="1" applyFill="1" applyBorder="1" applyAlignment="1">
      <alignment horizontal="center" wrapText="1"/>
    </xf>
    <xf numFmtId="43" fontId="4" fillId="0" borderId="1" xfId="0" applyNumberFormat="1" applyFont="1" applyFill="1" applyBorder="1" applyAlignment="1">
      <alignment horizontal="center" wrapText="1"/>
    </xf>
    <xf numFmtId="43" fontId="3" fillId="0" borderId="3" xfId="1" applyFont="1" applyBorder="1" applyAlignment="1">
      <alignment vertical="top"/>
    </xf>
    <xf numFmtId="0" fontId="8" fillId="0" borderId="0" xfId="0" applyFont="1" applyBorder="1" applyAlignment="1">
      <alignment horizontal="center"/>
    </xf>
    <xf numFmtId="0" fontId="1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0" applyNumberFormat="1" applyFont="1" applyFill="1" applyBorder="1"/>
    <xf numFmtId="0" fontId="4" fillId="0" borderId="0" xfId="0" applyFont="1" applyFill="1"/>
    <xf numFmtId="43" fontId="5" fillId="0" borderId="3" xfId="0" applyNumberFormat="1" applyFont="1" applyFill="1" applyBorder="1"/>
    <xf numFmtId="49" fontId="8" fillId="0" borderId="14" xfId="0" applyNumberFormat="1" applyFont="1" applyFill="1" applyBorder="1" applyAlignment="1">
      <alignment horizontal="center"/>
    </xf>
    <xf numFmtId="188" fontId="4" fillId="0" borderId="4" xfId="1" applyNumberFormat="1" applyFont="1" applyFill="1" applyBorder="1" applyAlignment="1">
      <alignment horizontal="center" wrapText="1"/>
    </xf>
    <xf numFmtId="187" fontId="4" fillId="0" borderId="12" xfId="1" applyNumberFormat="1" applyFont="1" applyFill="1" applyBorder="1" applyAlignment="1">
      <alignment horizontal="left" wrapText="1"/>
    </xf>
    <xf numFmtId="0" fontId="5" fillId="0" borderId="4" xfId="0" applyFont="1" applyBorder="1" applyAlignment="1"/>
    <xf numFmtId="43" fontId="5" fillId="0" borderId="1" xfId="0" applyNumberFormat="1" applyFont="1" applyBorder="1" applyAlignment="1"/>
    <xf numFmtId="0" fontId="5" fillId="0" borderId="1" xfId="0" applyFont="1" applyBorder="1" applyAlignment="1"/>
    <xf numFmtId="187" fontId="8" fillId="0" borderId="12" xfId="1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16" fillId="0" borderId="0" xfId="0" applyFont="1"/>
    <xf numFmtId="0" fontId="17" fillId="0" borderId="0" xfId="0" applyFont="1"/>
    <xf numFmtId="0" fontId="4" fillId="0" borderId="8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192" fontId="5" fillId="0" borderId="7" xfId="1" applyNumberFormat="1" applyFont="1" applyBorder="1" applyAlignment="1">
      <alignment horizontal="center" vertical="center"/>
    </xf>
    <xf numFmtId="43" fontId="5" fillId="0" borderId="3" xfId="0" applyNumberFormat="1" applyFont="1" applyBorder="1" applyAlignment="1">
      <alignment horizontal="center" vertical="center"/>
    </xf>
    <xf numFmtId="187" fontId="5" fillId="0" borderId="7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0" xfId="0" applyNumberFormat="1" applyFont="1" applyBorder="1" applyAlignment="1">
      <alignment horizontal="center" vertical="center"/>
    </xf>
    <xf numFmtId="187" fontId="5" fillId="0" borderId="0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187" fontId="5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3" fontId="5" fillId="0" borderId="0" xfId="0" applyNumberFormat="1" applyFont="1" applyFill="1" applyAlignment="1">
      <alignment vertical="top"/>
    </xf>
    <xf numFmtId="43" fontId="4" fillId="2" borderId="3" xfId="0" applyNumberFormat="1" applyFont="1" applyFill="1" applyBorder="1" applyAlignment="1">
      <alignment vertical="top"/>
    </xf>
    <xf numFmtId="43" fontId="4" fillId="5" borderId="3" xfId="0" applyNumberFormat="1" applyFont="1" applyFill="1" applyBorder="1" applyAlignment="1">
      <alignment vertical="top"/>
    </xf>
    <xf numFmtId="43" fontId="4" fillId="16" borderId="3" xfId="0" applyNumberFormat="1" applyFont="1" applyFill="1" applyBorder="1" applyAlignment="1">
      <alignment vertical="top"/>
    </xf>
    <xf numFmtId="0" fontId="2" fillId="0" borderId="0" xfId="0" applyFont="1" applyBorder="1"/>
    <xf numFmtId="0" fontId="5" fillId="0" borderId="0" xfId="0" applyFont="1" applyFill="1" applyAlignment="1">
      <alignment horizontal="center" vertical="top"/>
    </xf>
    <xf numFmtId="188" fontId="4" fillId="0" borderId="3" xfId="1" applyNumberFormat="1" applyFont="1" applyFill="1" applyBorder="1" applyAlignment="1">
      <alignment horizontal="center" vertical="top" wrapText="1"/>
    </xf>
    <xf numFmtId="43" fontId="4" fillId="0" borderId="3" xfId="0" applyNumberFormat="1" applyFont="1" applyFill="1" applyBorder="1" applyAlignment="1">
      <alignment horizontal="center" vertical="top" wrapText="1"/>
    </xf>
    <xf numFmtId="187" fontId="5" fillId="0" borderId="3" xfId="1" applyNumberFormat="1" applyFont="1" applyFill="1" applyBorder="1" applyAlignment="1">
      <alignment vertical="top"/>
    </xf>
    <xf numFmtId="187" fontId="5" fillId="0" borderId="3" xfId="0" applyNumberFormat="1" applyFont="1" applyBorder="1" applyAlignment="1"/>
    <xf numFmtId="0" fontId="11" fillId="0" borderId="15" xfId="2" applyFont="1" applyFill="1" applyBorder="1" applyAlignment="1">
      <alignment horizontal="center" vertical="top" wrapText="1"/>
    </xf>
    <xf numFmtId="0" fontId="5" fillId="0" borderId="13" xfId="2" applyFont="1" applyFill="1" applyBorder="1" applyAlignment="1">
      <alignment vertical="top" wrapText="1"/>
    </xf>
    <xf numFmtId="43" fontId="5" fillId="0" borderId="3" xfId="2" applyNumberFormat="1" applyFont="1" applyFill="1" applyBorder="1" applyAlignment="1">
      <alignment vertical="top" wrapText="1"/>
    </xf>
    <xf numFmtId="187" fontId="4" fillId="0" borderId="3" xfId="2" applyNumberFormat="1" applyFont="1" applyFill="1" applyBorder="1" applyAlignment="1">
      <alignment vertical="top" wrapText="1"/>
    </xf>
    <xf numFmtId="187" fontId="4" fillId="11" borderId="3" xfId="2" applyNumberFormat="1" applyFont="1" applyFill="1" applyBorder="1" applyAlignment="1">
      <alignment horizontal="right" vertical="top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19" fillId="0" borderId="0" xfId="0" applyFont="1"/>
    <xf numFmtId="193" fontId="19" fillId="0" borderId="0" xfId="1" applyNumberFormat="1" applyFont="1"/>
    <xf numFmtId="0" fontId="10" fillId="0" borderId="3" xfId="0" applyFont="1" applyFill="1" applyBorder="1" applyAlignment="1">
      <alignment horizontal="center"/>
    </xf>
    <xf numFmtId="193" fontId="10" fillId="0" borderId="3" xfId="1" applyNumberFormat="1" applyFont="1" applyFill="1" applyBorder="1" applyAlignment="1">
      <alignment horizontal="center"/>
    </xf>
    <xf numFmtId="43" fontId="20" fillId="0" borderId="0" xfId="0" applyNumberFormat="1" applyFont="1" applyFill="1"/>
    <xf numFmtId="0" fontId="20" fillId="0" borderId="0" xfId="0" applyFont="1" applyFill="1"/>
    <xf numFmtId="193" fontId="10" fillId="0" borderId="9" xfId="1" applyNumberFormat="1" applyFont="1" applyFill="1" applyBorder="1" applyAlignment="1">
      <alignment horizontal="center"/>
    </xf>
    <xf numFmtId="193" fontId="20" fillId="0" borderId="0" xfId="0" applyNumberFormat="1" applyFont="1" applyFill="1"/>
    <xf numFmtId="193" fontId="20" fillId="0" borderId="0" xfId="1" applyNumberFormat="1" applyFont="1" applyFill="1"/>
    <xf numFmtId="0" fontId="10" fillId="0" borderId="15" xfId="0" applyFont="1" applyFill="1" applyBorder="1"/>
    <xf numFmtId="0" fontId="10" fillId="0" borderId="7" xfId="0" applyFont="1" applyFill="1" applyBorder="1"/>
    <xf numFmtId="193" fontId="10" fillId="0" borderId="30" xfId="1" applyNumberFormat="1" applyFont="1" applyFill="1" applyBorder="1"/>
    <xf numFmtId="0" fontId="10" fillId="0" borderId="0" xfId="0" applyFont="1" applyFill="1"/>
    <xf numFmtId="193" fontId="10" fillId="0" borderId="0" xfId="0" applyNumberFormat="1" applyFont="1" applyFill="1"/>
    <xf numFmtId="0" fontId="20" fillId="0" borderId="13" xfId="0" applyFont="1" applyFill="1" applyBorder="1" applyAlignment="1">
      <alignment horizontal="center"/>
    </xf>
    <xf numFmtId="0" fontId="21" fillId="0" borderId="31" xfId="0" applyFont="1" applyFill="1" applyBorder="1"/>
    <xf numFmtId="3" fontId="20" fillId="0" borderId="32" xfId="0" applyNumberFormat="1" applyFont="1" applyFill="1" applyBorder="1" applyAlignment="1">
      <alignment wrapText="1"/>
    </xf>
    <xf numFmtId="193" fontId="20" fillId="0" borderId="13" xfId="1" applyNumberFormat="1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19" xfId="0" applyFont="1" applyFill="1" applyBorder="1"/>
    <xf numFmtId="0" fontId="20" fillId="0" borderId="22" xfId="0" applyFont="1" applyFill="1" applyBorder="1"/>
    <xf numFmtId="193" fontId="20" fillId="0" borderId="2" xfId="1" applyNumberFormat="1" applyFont="1" applyFill="1" applyBorder="1"/>
    <xf numFmtId="193" fontId="10" fillId="0" borderId="3" xfId="1" applyNumberFormat="1" applyFont="1" applyFill="1" applyBorder="1"/>
    <xf numFmtId="3" fontId="20" fillId="0" borderId="32" xfId="0" applyNumberFormat="1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19" xfId="0" applyFont="1" applyFill="1" applyBorder="1"/>
    <xf numFmtId="0" fontId="10" fillId="0" borderId="22" xfId="0" applyFont="1" applyFill="1" applyBorder="1"/>
    <xf numFmtId="193" fontId="10" fillId="0" borderId="2" xfId="1" applyNumberFormat="1" applyFont="1" applyFill="1" applyBorder="1"/>
    <xf numFmtId="0" fontId="20" fillId="0" borderId="32" xfId="0" applyFont="1" applyFill="1" applyBorder="1"/>
    <xf numFmtId="0" fontId="22" fillId="0" borderId="0" xfId="0" applyFont="1" applyFill="1" applyAlignment="1">
      <alignment horizontal="right"/>
    </xf>
    <xf numFmtId="43" fontId="22" fillId="0" borderId="0" xfId="0" applyNumberFormat="1" applyFont="1" applyFill="1"/>
    <xf numFmtId="0" fontId="21" fillId="0" borderId="19" xfId="0" applyFont="1" applyFill="1" applyBorder="1"/>
    <xf numFmtId="43" fontId="23" fillId="0" borderId="0" xfId="0" applyNumberFormat="1" applyFont="1"/>
    <xf numFmtId="0" fontId="20" fillId="0" borderId="3" xfId="0" applyFont="1" applyFill="1" applyBorder="1" applyAlignment="1">
      <alignment horizontal="center"/>
    </xf>
    <xf numFmtId="0" fontId="20" fillId="0" borderId="15" xfId="0" applyFont="1" applyFill="1" applyBorder="1"/>
    <xf numFmtId="0" fontId="20" fillId="0" borderId="7" xfId="0" applyFont="1" applyFill="1" applyBorder="1"/>
    <xf numFmtId="43" fontId="20" fillId="0" borderId="32" xfId="0" applyNumberFormat="1" applyFont="1" applyFill="1" applyBorder="1"/>
    <xf numFmtId="43" fontId="20" fillId="0" borderId="0" xfId="0" applyNumberFormat="1" applyFont="1" applyFill="1" applyBorder="1"/>
    <xf numFmtId="0" fontId="20" fillId="0" borderId="14" xfId="0" applyFont="1" applyFill="1" applyBorder="1"/>
    <xf numFmtId="0" fontId="10" fillId="0" borderId="0" xfId="0" applyFont="1" applyFill="1" applyBorder="1" applyAlignment="1">
      <alignment horizontal="left"/>
    </xf>
    <xf numFmtId="0" fontId="24" fillId="0" borderId="0" xfId="0" applyFont="1" applyFill="1" applyBorder="1"/>
    <xf numFmtId="0" fontId="10" fillId="0" borderId="0" xfId="0" applyFont="1" applyFill="1" applyBorder="1"/>
    <xf numFmtId="193" fontId="10" fillId="0" borderId="0" xfId="1" applyNumberFormat="1" applyFont="1" applyFill="1" applyBorder="1"/>
    <xf numFmtId="193" fontId="20" fillId="0" borderId="0" xfId="1" applyNumberFormat="1" applyFont="1" applyFill="1" applyBorder="1"/>
    <xf numFmtId="0" fontId="20" fillId="0" borderId="0" xfId="0" applyFont="1" applyFill="1" applyBorder="1" applyAlignment="1">
      <alignment horizontal="right"/>
    </xf>
    <xf numFmtId="3" fontId="20" fillId="0" borderId="0" xfId="0" applyNumberFormat="1" applyFont="1" applyFill="1" applyBorder="1"/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/>
    <xf numFmtId="3" fontId="10" fillId="0" borderId="0" xfId="0" applyNumberFormat="1" applyFont="1" applyBorder="1" applyAlignment="1">
      <alignment horizontal="center"/>
    </xf>
    <xf numFmtId="43" fontId="10" fillId="0" borderId="29" xfId="1" applyFont="1" applyBorder="1"/>
    <xf numFmtId="0" fontId="20" fillId="0" borderId="0" xfId="0" applyFont="1" applyBorder="1"/>
    <xf numFmtId="43" fontId="20" fillId="0" borderId="0" xfId="0" applyNumberFormat="1" applyFont="1" applyBorder="1"/>
    <xf numFmtId="0" fontId="20" fillId="0" borderId="0" xfId="0" applyFont="1" applyBorder="1" applyAlignment="1">
      <alignment horizontal="left"/>
    </xf>
    <xf numFmtId="3" fontId="20" fillId="0" borderId="0" xfId="0" applyNumberFormat="1" applyFont="1" applyBorder="1" applyAlignment="1"/>
    <xf numFmtId="43" fontId="20" fillId="0" borderId="0" xfId="1" applyFont="1" applyBorder="1"/>
    <xf numFmtId="0" fontId="25" fillId="0" borderId="0" xfId="0" applyFont="1" applyFill="1" applyBorder="1" applyAlignment="1">
      <alignment horizontal="left"/>
    </xf>
    <xf numFmtId="0" fontId="25" fillId="0" borderId="0" xfId="0" applyFont="1" applyBorder="1"/>
    <xf numFmtId="43" fontId="26" fillId="0" borderId="0" xfId="1" applyFont="1" applyBorder="1"/>
    <xf numFmtId="43" fontId="25" fillId="0" borderId="0" xfId="0" applyNumberFormat="1" applyFont="1" applyBorder="1"/>
    <xf numFmtId="0" fontId="20" fillId="0" borderId="0" xfId="0" applyFont="1" applyFill="1" applyBorder="1" applyAlignment="1">
      <alignment horizontal="left"/>
    </xf>
    <xf numFmtId="193" fontId="5" fillId="0" borderId="0" xfId="1" applyNumberFormat="1" applyFont="1"/>
    <xf numFmtId="43" fontId="19" fillId="0" borderId="0" xfId="1" applyFont="1"/>
    <xf numFmtId="43" fontId="19" fillId="0" borderId="0" xfId="0" applyNumberFormat="1" applyFont="1"/>
    <xf numFmtId="3" fontId="4" fillId="0" borderId="0" xfId="0" applyNumberFormat="1" applyFont="1" applyFill="1" applyBorder="1" applyAlignment="1">
      <alignment horizontal="centerContinuous" vertical="top"/>
    </xf>
    <xf numFmtId="0" fontId="5" fillId="0" borderId="0" xfId="0" applyFont="1" applyFill="1" applyBorder="1" applyAlignment="1">
      <alignment horizontal="centerContinuous" vertical="top"/>
    </xf>
    <xf numFmtId="43" fontId="5" fillId="0" borderId="0" xfId="1" applyFont="1" applyFill="1" applyBorder="1" applyAlignment="1">
      <alignment horizontal="centerContinuous" vertical="top"/>
    </xf>
    <xf numFmtId="43" fontId="27" fillId="0" borderId="0" xfId="1" applyFont="1" applyFill="1" applyBorder="1" applyAlignment="1">
      <alignment horizontal="centerContinuous" vertical="top"/>
    </xf>
    <xf numFmtId="43" fontId="4" fillId="0" borderId="0" xfId="1" applyFont="1" applyFill="1" applyBorder="1" applyAlignment="1">
      <alignment horizontal="centerContinuous" vertical="top"/>
    </xf>
    <xf numFmtId="43" fontId="5" fillId="0" borderId="0" xfId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horizontal="center"/>
    </xf>
    <xf numFmtId="43" fontId="5" fillId="0" borderId="0" xfId="1" applyFont="1" applyFill="1" applyBorder="1"/>
    <xf numFmtId="43" fontId="28" fillId="0" borderId="0" xfId="1" applyFont="1" applyFill="1" applyBorder="1"/>
    <xf numFmtId="43" fontId="28" fillId="0" borderId="0" xfId="1" applyFont="1" applyFill="1" applyBorder="1" applyAlignment="1">
      <alignment horizontal="center"/>
    </xf>
    <xf numFmtId="43" fontId="4" fillId="0" borderId="0" xfId="1" applyFont="1" applyFill="1" applyBorder="1"/>
    <xf numFmtId="0" fontId="5" fillId="0" borderId="0" xfId="0" applyFont="1" applyFill="1" applyBorder="1"/>
    <xf numFmtId="43" fontId="29" fillId="0" borderId="3" xfId="1" applyFont="1" applyFill="1" applyBorder="1" applyAlignment="1">
      <alignment horizontal="center" vertical="top"/>
    </xf>
    <xf numFmtId="43" fontId="29" fillId="0" borderId="3" xfId="1" applyFont="1" applyFill="1" applyBorder="1" applyAlignment="1">
      <alignment vertical="top"/>
    </xf>
    <xf numFmtId="43" fontId="30" fillId="0" borderId="3" xfId="1" applyFont="1" applyFill="1" applyBorder="1" applyAlignment="1"/>
    <xf numFmtId="43" fontId="30" fillId="0" borderId="7" xfId="1" applyFont="1" applyFill="1" applyBorder="1" applyAlignment="1"/>
    <xf numFmtId="43" fontId="29" fillId="0" borderId="15" xfId="1" applyFont="1" applyFill="1" applyBorder="1" applyAlignment="1">
      <alignment horizontal="center" vertical="center" wrapText="1"/>
    </xf>
    <xf numFmtId="43" fontId="29" fillId="0" borderId="3" xfId="1" applyFont="1" applyFill="1" applyBorder="1" applyAlignment="1">
      <alignment vertical="top" wrapText="1"/>
    </xf>
    <xf numFmtId="43" fontId="4" fillId="0" borderId="3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29" fillId="0" borderId="3" xfId="1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3" fontId="30" fillId="0" borderId="1" xfId="0" applyNumberFormat="1" applyFont="1" applyFill="1" applyBorder="1" applyAlignment="1">
      <alignment horizontal="center" vertical="center" wrapText="1"/>
    </xf>
    <xf numFmtId="43" fontId="32" fillId="0" borderId="3" xfId="1" quotePrefix="1" applyFont="1" applyFill="1" applyBorder="1" applyAlignment="1">
      <alignment horizontal="center" vertical="center"/>
    </xf>
    <xf numFmtId="49" fontId="32" fillId="0" borderId="3" xfId="1" quotePrefix="1" applyNumberFormat="1" applyFont="1" applyFill="1" applyBorder="1" applyAlignment="1">
      <alignment horizontal="center" vertical="center"/>
    </xf>
    <xf numFmtId="49" fontId="32" fillId="0" borderId="1" xfId="1" quotePrefix="1" applyNumberFormat="1" applyFont="1" applyFill="1" applyBorder="1" applyAlignment="1">
      <alignment horizontal="center" vertical="center"/>
    </xf>
    <xf numFmtId="190" fontId="33" fillId="0" borderId="1" xfId="1" applyNumberFormat="1" applyFont="1" applyFill="1" applyBorder="1" applyAlignment="1">
      <alignment horizontal="center" vertical="center" wrapText="1"/>
    </xf>
    <xf numFmtId="43" fontId="34" fillId="0" borderId="0" xfId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top" wrapText="1"/>
    </xf>
    <xf numFmtId="43" fontId="4" fillId="0" borderId="0" xfId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left" vertical="top"/>
    </xf>
    <xf numFmtId="3" fontId="4" fillId="0" borderId="3" xfId="0" applyNumberFormat="1" applyFont="1" applyFill="1" applyBorder="1" applyAlignment="1">
      <alignment horizontal="center" vertical="top"/>
    </xf>
    <xf numFmtId="43" fontId="4" fillId="0" borderId="0" xfId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3" fontId="5" fillId="0" borderId="33" xfId="0" applyNumberFormat="1" applyFont="1" applyFill="1" applyBorder="1" applyAlignment="1">
      <alignment horizontal="center" vertical="top"/>
    </xf>
    <xf numFmtId="0" fontId="5" fillId="0" borderId="34" xfId="0" applyFont="1" applyFill="1" applyBorder="1" applyAlignment="1">
      <alignment vertical="top" wrapText="1"/>
    </xf>
    <xf numFmtId="3" fontId="5" fillId="0" borderId="35" xfId="0" applyNumberFormat="1" applyFont="1" applyFill="1" applyBorder="1" applyAlignment="1">
      <alignment vertical="top"/>
    </xf>
    <xf numFmtId="0" fontId="5" fillId="0" borderId="35" xfId="0" applyFont="1" applyFill="1" applyBorder="1" applyAlignment="1">
      <alignment horizontal="left" vertical="top"/>
    </xf>
    <xf numFmtId="43" fontId="5" fillId="0" borderId="35" xfId="1" applyFont="1" applyFill="1" applyBorder="1" applyAlignment="1">
      <alignment vertical="top"/>
    </xf>
    <xf numFmtId="43" fontId="4" fillId="0" borderId="35" xfId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3" fontId="5" fillId="0" borderId="36" xfId="0" applyNumberFormat="1" applyFont="1" applyFill="1" applyBorder="1" applyAlignment="1">
      <alignment horizontal="center" vertical="top"/>
    </xf>
    <xf numFmtId="3" fontId="5" fillId="0" borderId="37" xfId="0" applyNumberFormat="1" applyFont="1" applyFill="1" applyBorder="1" applyAlignment="1">
      <alignment vertical="top"/>
    </xf>
    <xf numFmtId="3" fontId="5" fillId="0" borderId="38" xfId="0" applyNumberFormat="1" applyFont="1" applyFill="1" applyBorder="1" applyAlignment="1">
      <alignment vertical="top"/>
    </xf>
    <xf numFmtId="0" fontId="5" fillId="0" borderId="38" xfId="0" applyFont="1" applyFill="1" applyBorder="1" applyAlignment="1">
      <alignment horizontal="left" vertical="top"/>
    </xf>
    <xf numFmtId="43" fontId="5" fillId="0" borderId="38" xfId="1" applyFont="1" applyFill="1" applyBorder="1" applyAlignment="1">
      <alignment vertical="top"/>
    </xf>
    <xf numFmtId="0" fontId="5" fillId="0" borderId="37" xfId="0" applyFont="1" applyFill="1" applyBorder="1" applyAlignment="1">
      <alignment vertical="top" wrapText="1"/>
    </xf>
    <xf numFmtId="3" fontId="5" fillId="0" borderId="39" xfId="0" applyNumberFormat="1" applyFont="1" applyFill="1" applyBorder="1" applyAlignment="1">
      <alignment horizontal="center" vertical="top"/>
    </xf>
    <xf numFmtId="3" fontId="5" fillId="0" borderId="40" xfId="0" applyNumberFormat="1" applyFont="1" applyFill="1" applyBorder="1" applyAlignment="1">
      <alignment vertical="top"/>
    </xf>
    <xf numFmtId="3" fontId="5" fillId="0" borderId="41" xfId="0" applyNumberFormat="1" applyFont="1" applyFill="1" applyBorder="1" applyAlignment="1">
      <alignment vertical="top"/>
    </xf>
    <xf numFmtId="0" fontId="5" fillId="0" borderId="41" xfId="0" applyFont="1" applyFill="1" applyBorder="1" applyAlignment="1">
      <alignment horizontal="left" vertical="top"/>
    </xf>
    <xf numFmtId="43" fontId="5" fillId="0" borderId="41" xfId="1" applyFont="1" applyFill="1" applyBorder="1" applyAlignment="1">
      <alignment vertical="top"/>
    </xf>
    <xf numFmtId="3" fontId="4" fillId="0" borderId="3" xfId="0" applyNumberFormat="1" applyFont="1" applyFill="1" applyBorder="1" applyAlignment="1">
      <alignment vertical="top"/>
    </xf>
    <xf numFmtId="43" fontId="4" fillId="0" borderId="3" xfId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193" fontId="5" fillId="0" borderId="3" xfId="1" applyNumberFormat="1" applyFont="1" applyFill="1" applyBorder="1" applyAlignment="1">
      <alignment horizontal="left" vertical="top" wrapText="1"/>
    </xf>
    <xf numFmtId="3" fontId="5" fillId="0" borderId="42" xfId="0" applyNumberFormat="1" applyFont="1" applyFill="1" applyBorder="1" applyAlignment="1">
      <alignment horizontal="center" vertical="top"/>
    </xf>
    <xf numFmtId="3" fontId="5" fillId="0" borderId="43" xfId="0" applyNumberFormat="1" applyFont="1" applyFill="1" applyBorder="1" applyAlignment="1">
      <alignment vertical="top"/>
    </xf>
    <xf numFmtId="3" fontId="5" fillId="0" borderId="44" xfId="0" applyNumberFormat="1" applyFont="1" applyFill="1" applyBorder="1" applyAlignment="1">
      <alignment vertical="top"/>
    </xf>
    <xf numFmtId="0" fontId="5" fillId="0" borderId="44" xfId="0" applyFont="1" applyFill="1" applyBorder="1" applyAlignment="1">
      <alignment horizontal="left" vertical="top"/>
    </xf>
    <xf numFmtId="43" fontId="5" fillId="0" borderId="44" xfId="1" applyFont="1" applyFill="1" applyBorder="1" applyAlignment="1">
      <alignment vertical="top"/>
    </xf>
    <xf numFmtId="43" fontId="4" fillId="0" borderId="44" xfId="1" applyFont="1" applyFill="1" applyBorder="1" applyAlignment="1">
      <alignment vertical="top"/>
    </xf>
    <xf numFmtId="3" fontId="5" fillId="0" borderId="3" xfId="0" applyNumberFormat="1" applyFont="1" applyFill="1" applyBorder="1" applyAlignment="1">
      <alignment vertical="top"/>
    </xf>
    <xf numFmtId="3" fontId="5" fillId="0" borderId="34" xfId="0" applyNumberFormat="1" applyFont="1" applyFill="1" applyBorder="1" applyAlignment="1">
      <alignment vertical="top"/>
    </xf>
    <xf numFmtId="3" fontId="4" fillId="0" borderId="2" xfId="0" applyNumberFormat="1" applyFont="1" applyFill="1" applyBorder="1" applyAlignment="1">
      <alignment horizontal="left" vertical="top"/>
    </xf>
    <xf numFmtId="3" fontId="5" fillId="0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left" vertical="top"/>
    </xf>
    <xf numFmtId="43" fontId="4" fillId="0" borderId="2" xfId="1" applyFont="1" applyFill="1" applyBorder="1" applyAlignment="1">
      <alignment vertical="top"/>
    </xf>
    <xf numFmtId="3" fontId="4" fillId="0" borderId="45" xfId="0" applyNumberFormat="1" applyFont="1" applyFill="1" applyBorder="1" applyAlignment="1">
      <alignment horizontal="left" vertical="top"/>
    </xf>
    <xf numFmtId="3" fontId="5" fillId="0" borderId="46" xfId="0" applyNumberFormat="1" applyFont="1" applyFill="1" applyBorder="1" applyAlignment="1">
      <alignment vertical="top"/>
    </xf>
    <xf numFmtId="3" fontId="5" fillId="0" borderId="47" xfId="0" applyNumberFormat="1" applyFont="1" applyFill="1" applyBorder="1" applyAlignment="1">
      <alignment vertical="top"/>
    </xf>
    <xf numFmtId="0" fontId="5" fillId="0" borderId="47" xfId="0" applyFont="1" applyFill="1" applyBorder="1" applyAlignment="1">
      <alignment horizontal="left" vertical="top"/>
    </xf>
    <xf numFmtId="43" fontId="4" fillId="0" borderId="47" xfId="1" applyFont="1" applyFill="1" applyBorder="1" applyAlignment="1">
      <alignment vertical="top"/>
    </xf>
    <xf numFmtId="43" fontId="5" fillId="0" borderId="47" xfId="1" applyFont="1" applyFill="1" applyBorder="1" applyAlignment="1">
      <alignment vertical="top"/>
    </xf>
    <xf numFmtId="3" fontId="5" fillId="0" borderId="34" xfId="5" applyNumberFormat="1" applyFont="1" applyFill="1" applyBorder="1" applyAlignment="1">
      <alignment horizontal="left" vertical="top" shrinkToFit="1"/>
    </xf>
    <xf numFmtId="0" fontId="5" fillId="0" borderId="35" xfId="0" applyFont="1" applyFill="1" applyBorder="1" applyAlignment="1">
      <alignment vertical="top" wrapText="1"/>
    </xf>
    <xf numFmtId="3" fontId="5" fillId="0" borderId="37" xfId="5" applyNumberFormat="1" applyFont="1" applyFill="1" applyBorder="1" applyAlignment="1">
      <alignment horizontal="left" vertical="top" shrinkToFit="1"/>
    </xf>
    <xf numFmtId="0" fontId="5" fillId="0" borderId="38" xfId="0" applyFont="1" applyFill="1" applyBorder="1" applyAlignment="1">
      <alignment vertical="top" wrapText="1"/>
    </xf>
    <xf numFmtId="3" fontId="5" fillId="0" borderId="37" xfId="5" applyNumberFormat="1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top"/>
    </xf>
    <xf numFmtId="3" fontId="5" fillId="0" borderId="37" xfId="5" applyNumberFormat="1" applyFont="1" applyFill="1" applyBorder="1" applyAlignment="1">
      <alignment horizontal="left" vertical="center" shrinkToFit="1"/>
    </xf>
    <xf numFmtId="3" fontId="5" fillId="0" borderId="43" xfId="5" applyNumberFormat="1" applyFont="1" applyFill="1" applyBorder="1" applyAlignment="1">
      <alignment horizontal="left" vertical="center" shrinkToFit="1"/>
    </xf>
    <xf numFmtId="3" fontId="5" fillId="0" borderId="0" xfId="0" applyNumberFormat="1" applyFont="1" applyFill="1" applyBorder="1" applyAlignment="1"/>
    <xf numFmtId="43" fontId="5" fillId="0" borderId="0" xfId="1" applyFont="1" applyFill="1" applyBorder="1" applyAlignment="1"/>
    <xf numFmtId="43" fontId="4" fillId="0" borderId="0" xfId="1" applyFont="1" applyFill="1" applyBorder="1" applyAlignment="1"/>
    <xf numFmtId="0" fontId="4" fillId="0" borderId="0" xfId="0" applyFont="1" applyAlignment="1">
      <alignment horizontal="centerContinuous" vertical="top"/>
    </xf>
    <xf numFmtId="0" fontId="4" fillId="0" borderId="0" xfId="0" applyFont="1" applyBorder="1" applyAlignment="1">
      <alignment horizontal="centerContinuous" vertical="top"/>
    </xf>
    <xf numFmtId="189" fontId="4" fillId="0" borderId="0" xfId="1" applyNumberFormat="1" applyFont="1" applyBorder="1" applyAlignment="1"/>
    <xf numFmtId="0" fontId="4" fillId="0" borderId="7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/>
    </xf>
    <xf numFmtId="43" fontId="4" fillId="0" borderId="9" xfId="1" applyFont="1" applyFill="1" applyBorder="1"/>
    <xf numFmtId="194" fontId="5" fillId="0" borderId="0" xfId="0" applyNumberFormat="1" applyFont="1"/>
    <xf numFmtId="0" fontId="17" fillId="0" borderId="35" xfId="0" applyFont="1" applyFill="1" applyBorder="1"/>
    <xf numFmtId="43" fontId="4" fillId="0" borderId="35" xfId="1" applyFont="1" applyFill="1" applyBorder="1"/>
    <xf numFmtId="0" fontId="5" fillId="0" borderId="38" xfId="0" applyFont="1" applyFill="1" applyBorder="1"/>
    <xf numFmtId="43" fontId="5" fillId="0" borderId="38" xfId="1" applyFont="1" applyFill="1" applyBorder="1"/>
    <xf numFmtId="0" fontId="5" fillId="0" borderId="41" xfId="0" applyFont="1" applyFill="1" applyBorder="1"/>
    <xf numFmtId="0" fontId="5" fillId="0" borderId="44" xfId="0" applyFont="1" applyFill="1" applyBorder="1"/>
    <xf numFmtId="43" fontId="5" fillId="0" borderId="44" xfId="1" applyFont="1" applyFill="1" applyBorder="1"/>
    <xf numFmtId="43" fontId="4" fillId="0" borderId="44" xfId="1" applyFont="1" applyFill="1" applyBorder="1"/>
    <xf numFmtId="189" fontId="5" fillId="0" borderId="0" xfId="1" applyNumberFormat="1" applyFont="1"/>
    <xf numFmtId="43" fontId="4" fillId="0" borderId="0" xfId="1" applyFont="1" applyAlignment="1">
      <alignment horizontal="centerContinuous" vertical="top"/>
    </xf>
    <xf numFmtId="0" fontId="35" fillId="0" borderId="0" xfId="0" applyFont="1"/>
    <xf numFmtId="43" fontId="35" fillId="0" borderId="0" xfId="1" applyFont="1"/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43" fontId="36" fillId="0" borderId="1" xfId="1" applyFont="1" applyBorder="1" applyAlignment="1">
      <alignment horizontal="center" vertical="center"/>
    </xf>
    <xf numFmtId="43" fontId="36" fillId="0" borderId="3" xfId="1" applyFont="1" applyBorder="1" applyAlignment="1">
      <alignment horizontal="center"/>
    </xf>
    <xf numFmtId="43" fontId="35" fillId="0" borderId="0" xfId="0" applyNumberFormat="1" applyFont="1"/>
    <xf numFmtId="0" fontId="36" fillId="0" borderId="3" xfId="0" applyFont="1" applyBorder="1" applyAlignment="1">
      <alignment horizontal="center" vertical="center"/>
    </xf>
    <xf numFmtId="43" fontId="36" fillId="0" borderId="3" xfId="1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43" fontId="35" fillId="0" borderId="35" xfId="0" applyNumberFormat="1" applyFont="1" applyBorder="1" applyAlignment="1">
      <alignment vertical="top" wrapText="1"/>
    </xf>
    <xf numFmtId="43" fontId="38" fillId="0" borderId="35" xfId="1" applyFont="1" applyBorder="1" applyAlignment="1">
      <alignment vertical="top" wrapText="1"/>
    </xf>
    <xf numFmtId="43" fontId="39" fillId="0" borderId="35" xfId="1" applyFont="1" applyBorder="1" applyAlignment="1">
      <alignment vertical="top" wrapText="1"/>
    </xf>
    <xf numFmtId="0" fontId="35" fillId="0" borderId="35" xfId="0" applyFont="1" applyBorder="1" applyAlignment="1">
      <alignment horizontal="center" vertical="top" wrapText="1"/>
    </xf>
    <xf numFmtId="0" fontId="35" fillId="0" borderId="0" xfId="0" applyFont="1" applyAlignment="1">
      <alignment vertical="top"/>
    </xf>
    <xf numFmtId="43" fontId="35" fillId="0" borderId="0" xfId="0" applyNumberFormat="1" applyFont="1" applyAlignment="1">
      <alignment vertical="top"/>
    </xf>
    <xf numFmtId="43" fontId="39" fillId="0" borderId="35" xfId="1" applyFont="1" applyFill="1" applyBorder="1" applyAlignment="1">
      <alignment horizontal="left" vertical="top" wrapText="1"/>
    </xf>
    <xf numFmtId="43" fontId="38" fillId="0" borderId="38" xfId="1" applyFont="1" applyBorder="1" applyAlignment="1">
      <alignment vertical="top" wrapText="1"/>
    </xf>
    <xf numFmtId="43" fontId="39" fillId="0" borderId="38" xfId="1" applyFont="1" applyBorder="1" applyAlignment="1">
      <alignment vertical="top" wrapText="1"/>
    </xf>
    <xf numFmtId="43" fontId="39" fillId="0" borderId="38" xfId="1" applyFont="1" applyBorder="1" applyAlignment="1">
      <alignment horizontal="center" vertical="top" wrapText="1"/>
    </xf>
    <xf numFmtId="43" fontId="35" fillId="0" borderId="38" xfId="0" applyNumberFormat="1" applyFont="1" applyBorder="1" applyAlignment="1">
      <alignment vertical="top" wrapText="1"/>
    </xf>
    <xf numFmtId="43" fontId="39" fillId="0" borderId="38" xfId="1" applyFont="1" applyFill="1" applyBorder="1" applyAlignment="1">
      <alignment vertical="top" wrapText="1"/>
    </xf>
    <xf numFmtId="43" fontId="39" fillId="0" borderId="38" xfId="1" applyFont="1" applyFill="1" applyBorder="1" applyAlignment="1">
      <alignment horizontal="center" vertical="top" wrapText="1"/>
    </xf>
    <xf numFmtId="0" fontId="35" fillId="0" borderId="0" xfId="0" applyFont="1" applyFill="1"/>
    <xf numFmtId="43" fontId="35" fillId="0" borderId="38" xfId="0" applyNumberFormat="1" applyFont="1" applyFill="1" applyBorder="1" applyAlignment="1">
      <alignment vertical="top" wrapText="1"/>
    </xf>
    <xf numFmtId="43" fontId="40" fillId="0" borderId="38" xfId="1" applyFont="1" applyFill="1" applyBorder="1" applyAlignment="1">
      <alignment vertical="top" wrapText="1"/>
    </xf>
    <xf numFmtId="43" fontId="41" fillId="0" borderId="38" xfId="1" applyFont="1" applyFill="1" applyBorder="1" applyAlignment="1">
      <alignment vertical="top" wrapText="1"/>
    </xf>
    <xf numFmtId="43" fontId="41" fillId="0" borderId="35" xfId="1" applyFont="1" applyBorder="1" applyAlignment="1">
      <alignment vertical="top" wrapText="1"/>
    </xf>
    <xf numFmtId="0" fontId="35" fillId="0" borderId="38" xfId="0" applyFont="1" applyFill="1" applyBorder="1" applyAlignment="1">
      <alignment horizontal="center" vertical="top" wrapText="1"/>
    </xf>
    <xf numFmtId="43" fontId="41" fillId="0" borderId="38" xfId="1" applyFont="1" applyBorder="1" applyAlignment="1">
      <alignment vertical="top" wrapText="1"/>
    </xf>
    <xf numFmtId="43" fontId="35" fillId="0" borderId="36" xfId="0" applyNumberFormat="1" applyFont="1" applyFill="1" applyBorder="1" applyAlignment="1">
      <alignment vertical="top" wrapText="1"/>
    </xf>
    <xf numFmtId="0" fontId="35" fillId="0" borderId="0" xfId="0" applyFont="1" applyFill="1" applyAlignment="1">
      <alignment vertical="top" wrapText="1"/>
    </xf>
    <xf numFmtId="43" fontId="35" fillId="0" borderId="19" xfId="0" applyNumberFormat="1" applyFont="1" applyFill="1" applyBorder="1" applyAlignment="1">
      <alignment vertical="top" wrapText="1"/>
    </xf>
    <xf numFmtId="43" fontId="40" fillId="0" borderId="2" xfId="1" applyFont="1" applyFill="1" applyBorder="1" applyAlignment="1">
      <alignment vertical="top" wrapText="1"/>
    </xf>
    <xf numFmtId="43" fontId="41" fillId="0" borderId="2" xfId="1" applyFont="1" applyFill="1" applyBorder="1" applyAlignment="1">
      <alignment vertical="top" wrapText="1"/>
    </xf>
    <xf numFmtId="0" fontId="35" fillId="0" borderId="2" xfId="0" applyFont="1" applyFill="1" applyBorder="1" applyAlignment="1">
      <alignment horizontal="center" vertical="top" wrapText="1"/>
    </xf>
    <xf numFmtId="0" fontId="42" fillId="0" borderId="0" xfId="0" applyFont="1"/>
    <xf numFmtId="0" fontId="43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2" fontId="43" fillId="0" borderId="0" xfId="0" applyNumberFormat="1" applyFont="1" applyAlignment="1">
      <alignment horizontal="center"/>
    </xf>
    <xf numFmtId="2" fontId="43" fillId="0" borderId="0" xfId="1" applyNumberFormat="1" applyFont="1" applyAlignment="1">
      <alignment horizontal="center"/>
    </xf>
    <xf numFmtId="193" fontId="42" fillId="0" borderId="0" xfId="1" applyNumberFormat="1" applyFont="1"/>
    <xf numFmtId="0" fontId="4" fillId="0" borderId="3" xfId="0" applyFont="1" applyFill="1" applyBorder="1" applyAlignment="1">
      <alignment horizontal="center" vertical="center" wrapText="1"/>
    </xf>
    <xf numFmtId="193" fontId="4" fillId="0" borderId="3" xfId="1" applyNumberFormat="1" applyFont="1" applyFill="1" applyBorder="1" applyAlignment="1">
      <alignment horizontal="center" vertical="center" wrapText="1"/>
    </xf>
    <xf numFmtId="193" fontId="5" fillId="0" borderId="0" xfId="1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193" fontId="4" fillId="0" borderId="1" xfId="0" applyNumberFormat="1" applyFont="1" applyFill="1" applyBorder="1" applyAlignment="1">
      <alignment horizontal="center"/>
    </xf>
    <xf numFmtId="193" fontId="4" fillId="0" borderId="9" xfId="0" applyNumberFormat="1" applyFont="1" applyFill="1" applyBorder="1" applyAlignment="1">
      <alignment horizontal="center"/>
    </xf>
    <xf numFmtId="193" fontId="4" fillId="0" borderId="0" xfId="6" applyNumberFormat="1" applyFont="1" applyFill="1" applyBorder="1" applyAlignment="1">
      <alignment horizontal="center"/>
    </xf>
    <xf numFmtId="193" fontId="44" fillId="0" borderId="48" xfId="1" applyNumberFormat="1" applyFont="1" applyFill="1" applyBorder="1" applyAlignment="1">
      <alignment horizontal="right" vertical="center"/>
    </xf>
    <xf numFmtId="0" fontId="43" fillId="0" borderId="48" xfId="0" applyFont="1" applyBorder="1" applyAlignment="1">
      <alignment horizontal="right"/>
    </xf>
    <xf numFmtId="0" fontId="43" fillId="0" borderId="48" xfId="0" applyFont="1" applyBorder="1" applyAlignment="1">
      <alignment horizontal="center"/>
    </xf>
    <xf numFmtId="2" fontId="43" fillId="0" borderId="48" xfId="0" applyNumberFormat="1" applyFont="1" applyBorder="1" applyAlignment="1">
      <alignment horizontal="center"/>
    </xf>
    <xf numFmtId="2" fontId="43" fillId="0" borderId="13" xfId="1" applyNumberFormat="1" applyFont="1" applyBorder="1" applyAlignment="1">
      <alignment horizontal="center"/>
    </xf>
    <xf numFmtId="193" fontId="5" fillId="0" borderId="0" xfId="1" applyNumberFormat="1" applyFont="1" applyBorder="1"/>
    <xf numFmtId="193" fontId="42" fillId="0" borderId="0" xfId="1" applyNumberFormat="1" applyFont="1" applyBorder="1" applyAlignment="1">
      <alignment horizontal="right" vertical="center"/>
    </xf>
    <xf numFmtId="193" fontId="42" fillId="0" borderId="0" xfId="1" applyNumberFormat="1" applyFont="1" applyAlignment="1">
      <alignment horizontal="right" vertic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193" fontId="4" fillId="0" borderId="13" xfId="1" applyNumberFormat="1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193" fontId="5" fillId="0" borderId="13" xfId="1" applyNumberFormat="1" applyFont="1" applyBorder="1"/>
    <xf numFmtId="193" fontId="44" fillId="0" borderId="13" xfId="1" applyNumberFormat="1" applyFont="1" applyFill="1" applyBorder="1" applyAlignment="1">
      <alignment horizontal="right" vertical="center"/>
    </xf>
    <xf numFmtId="0" fontId="43" fillId="0" borderId="13" xfId="0" applyFont="1" applyBorder="1" applyAlignment="1">
      <alignment horizontal="right"/>
    </xf>
    <xf numFmtId="0" fontId="43" fillId="0" borderId="13" xfId="0" applyFont="1" applyBorder="1" applyAlignment="1">
      <alignment horizontal="center"/>
    </xf>
    <xf numFmtId="2" fontId="43" fillId="0" borderId="13" xfId="0" applyNumberFormat="1" applyFont="1" applyBorder="1" applyAlignment="1">
      <alignment horizontal="center"/>
    </xf>
    <xf numFmtId="0" fontId="3" fillId="0" borderId="13" xfId="0" applyFont="1" applyFill="1" applyBorder="1"/>
    <xf numFmtId="0" fontId="4" fillId="0" borderId="19" xfId="0" applyFont="1" applyBorder="1"/>
    <xf numFmtId="0" fontId="5" fillId="0" borderId="2" xfId="0" applyFont="1" applyBorder="1"/>
    <xf numFmtId="193" fontId="5" fillId="0" borderId="2" xfId="0" applyNumberFormat="1" applyFont="1" applyBorder="1"/>
    <xf numFmtId="193" fontId="5" fillId="0" borderId="22" xfId="1" applyNumberFormat="1" applyFont="1" applyBorder="1"/>
    <xf numFmtId="193" fontId="3" fillId="0" borderId="0" xfId="1" applyNumberFormat="1" applyFont="1"/>
    <xf numFmtId="0" fontId="26" fillId="0" borderId="0" xfId="0" applyFont="1" applyFill="1" applyBorder="1" applyAlignment="1">
      <alignment horizontal="left"/>
    </xf>
    <xf numFmtId="0" fontId="47" fillId="0" borderId="0" xfId="0" applyFont="1" applyFill="1" applyBorder="1"/>
    <xf numFmtId="0" fontId="26" fillId="0" borderId="0" xfId="0" applyFont="1" applyFill="1" applyBorder="1"/>
    <xf numFmtId="193" fontId="26" fillId="0" borderId="0" xfId="1" applyNumberFormat="1" applyFont="1" applyFill="1" applyBorder="1"/>
    <xf numFmtId="0" fontId="48" fillId="0" borderId="0" xfId="0" applyFont="1" applyBorder="1"/>
    <xf numFmtId="193" fontId="48" fillId="0" borderId="0" xfId="1" applyNumberFormat="1" applyFont="1" applyBorder="1"/>
    <xf numFmtId="0" fontId="25" fillId="0" borderId="0" xfId="0" applyFont="1" applyFill="1" applyBorder="1" applyAlignment="1">
      <alignment horizontal="right"/>
    </xf>
    <xf numFmtId="3" fontId="25" fillId="0" borderId="0" xfId="0" applyNumberFormat="1" applyFont="1" applyFill="1" applyBorder="1" applyAlignment="1"/>
    <xf numFmtId="0" fontId="48" fillId="0" borderId="0" xfId="0" applyFont="1" applyBorder="1" applyAlignment="1"/>
    <xf numFmtId="193" fontId="25" fillId="0" borderId="0" xfId="1" applyNumberFormat="1" applyFont="1" applyFill="1" applyBorder="1" applyAlignment="1"/>
    <xf numFmtId="0" fontId="25" fillId="0" borderId="0" xfId="0" applyFont="1" applyFill="1" applyBorder="1" applyAlignment="1">
      <alignment horizontal="right" vertical="top"/>
    </xf>
    <xf numFmtId="3" fontId="25" fillId="0" borderId="0" xfId="0" applyNumberFormat="1" applyFont="1" applyFill="1" applyBorder="1" applyAlignment="1">
      <alignment horizontal="left" vertical="top"/>
    </xf>
    <xf numFmtId="193" fontId="25" fillId="0" borderId="0" xfId="0" applyNumberFormat="1" applyFont="1" applyBorder="1" applyAlignment="1">
      <alignment vertical="top"/>
    </xf>
    <xf numFmtId="0" fontId="49" fillId="0" borderId="0" xfId="0" applyFont="1" applyFill="1" applyBorder="1" applyAlignment="1">
      <alignment horizontal="left"/>
    </xf>
    <xf numFmtId="3" fontId="49" fillId="0" borderId="0" xfId="0" applyNumberFormat="1" applyFont="1" applyFill="1" applyBorder="1" applyAlignment="1">
      <alignment horizontal="left" vertical="top"/>
    </xf>
    <xf numFmtId="0" fontId="3" fillId="0" borderId="0" xfId="0" applyFont="1" applyBorder="1" applyAlignment="1"/>
    <xf numFmtId="43" fontId="49" fillId="0" borderId="0" xfId="1" applyNumberFormat="1" applyFont="1" applyFill="1" applyBorder="1" applyAlignment="1"/>
    <xf numFmtId="0" fontId="29" fillId="0" borderId="0" xfId="0" applyFont="1" applyFill="1" applyBorder="1" applyAlignment="1">
      <alignment horizontal="center"/>
    </xf>
    <xf numFmtId="43" fontId="29" fillId="0" borderId="0" xfId="1" applyNumberFormat="1" applyFont="1" applyFill="1" applyBorder="1" applyAlignment="1"/>
    <xf numFmtId="0" fontId="5" fillId="0" borderId="0" xfId="0" applyFont="1" applyBorder="1"/>
    <xf numFmtId="0" fontId="50" fillId="0" borderId="0" xfId="0" applyFont="1" applyFill="1" applyBorder="1"/>
    <xf numFmtId="193" fontId="50" fillId="0" borderId="0" xfId="1" applyNumberFormat="1" applyFont="1" applyFill="1" applyBorder="1"/>
    <xf numFmtId="0" fontId="51" fillId="0" borderId="14" xfId="0" applyFont="1" applyFill="1" applyBorder="1" applyAlignment="1">
      <alignment horizontal="center"/>
    </xf>
    <xf numFmtId="0" fontId="51" fillId="0" borderId="14" xfId="0" applyFont="1" applyFill="1" applyBorder="1" applyAlignment="1">
      <alignment horizontal="right"/>
    </xf>
    <xf numFmtId="193" fontId="51" fillId="0" borderId="14" xfId="1" applyNumberFormat="1" applyFont="1" applyFill="1" applyBorder="1" applyAlignment="1">
      <alignment horizontal="center"/>
    </xf>
    <xf numFmtId="193" fontId="52" fillId="0" borderId="0" xfId="1" applyNumberFormat="1" applyFont="1" applyFill="1" applyAlignment="1">
      <alignment horizontal="left"/>
    </xf>
    <xf numFmtId="193" fontId="51" fillId="0" borderId="14" xfId="1" applyNumberFormat="1" applyFont="1" applyFill="1" applyBorder="1" applyAlignment="1">
      <alignment horizontal="right"/>
    </xf>
    <xf numFmtId="2" fontId="51" fillId="0" borderId="14" xfId="0" applyNumberFormat="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193" fontId="33" fillId="0" borderId="7" xfId="1" applyNumberFormat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193" fontId="37" fillId="0" borderId="9" xfId="1" applyNumberFormat="1" applyFont="1" applyFill="1" applyBorder="1"/>
    <xf numFmtId="193" fontId="33" fillId="0" borderId="9" xfId="1" applyNumberFormat="1" applyFont="1" applyFill="1" applyBorder="1"/>
    <xf numFmtId="43" fontId="50" fillId="0" borderId="0" xfId="0" applyNumberFormat="1" applyFont="1" applyFill="1" applyBorder="1"/>
    <xf numFmtId="0" fontId="37" fillId="0" borderId="2" xfId="0" applyFont="1" applyFill="1" applyBorder="1" applyAlignment="1">
      <alignment horizontal="center"/>
    </xf>
    <xf numFmtId="0" fontId="37" fillId="0" borderId="19" xfId="0" applyFont="1" applyFill="1" applyBorder="1" applyAlignment="1">
      <alignment horizontal="left"/>
    </xf>
    <xf numFmtId="0" fontId="53" fillId="0" borderId="22" xfId="0" applyFont="1" applyFill="1" applyBorder="1" applyAlignment="1">
      <alignment horizontal="left"/>
    </xf>
    <xf numFmtId="0" fontId="53" fillId="0" borderId="22" xfId="0" applyFont="1" applyFill="1" applyBorder="1" applyAlignment="1">
      <alignment horizontal="center"/>
    </xf>
    <xf numFmtId="193" fontId="37" fillId="0" borderId="2" xfId="1" applyNumberFormat="1" applyFont="1" applyFill="1" applyBorder="1"/>
    <xf numFmtId="193" fontId="54" fillId="0" borderId="22" xfId="1" applyNumberFormat="1" applyFont="1" applyFill="1" applyBorder="1" applyAlignment="1">
      <alignment horizontal="center"/>
    </xf>
    <xf numFmtId="0" fontId="51" fillId="0" borderId="0" xfId="0" applyFont="1" applyFill="1" applyBorder="1"/>
    <xf numFmtId="43" fontId="50" fillId="0" borderId="0" xfId="0" applyNumberFormat="1" applyFont="1" applyFill="1" applyBorder="1" applyAlignment="1">
      <alignment horizontal="center"/>
    </xf>
    <xf numFmtId="0" fontId="51" fillId="0" borderId="3" xfId="0" applyFont="1" applyFill="1" applyBorder="1"/>
    <xf numFmtId="0" fontId="37" fillId="0" borderId="15" xfId="0" applyFont="1" applyFill="1" applyBorder="1" applyAlignment="1">
      <alignment horizontal="left"/>
    </xf>
    <xf numFmtId="0" fontId="37" fillId="0" borderId="7" xfId="0" applyFont="1" applyFill="1" applyBorder="1" applyAlignment="1">
      <alignment horizontal="left"/>
    </xf>
    <xf numFmtId="0" fontId="37" fillId="0" borderId="3" xfId="0" applyFont="1" applyFill="1" applyBorder="1" applyAlignment="1">
      <alignment horizontal="center"/>
    </xf>
    <xf numFmtId="193" fontId="53" fillId="0" borderId="3" xfId="1" applyNumberFormat="1" applyFont="1" applyFill="1" applyBorder="1" applyAlignment="1">
      <alignment horizontal="center"/>
    </xf>
    <xf numFmtId="193" fontId="54" fillId="0" borderId="3" xfId="1" applyNumberFormat="1" applyFont="1" applyFill="1" applyBorder="1"/>
    <xf numFmtId="193" fontId="37" fillId="0" borderId="3" xfId="1" applyNumberFormat="1" applyFont="1" applyFill="1" applyBorder="1"/>
    <xf numFmtId="0" fontId="51" fillId="0" borderId="0" xfId="0" applyFont="1" applyFill="1" applyBorder="1" applyAlignment="1">
      <alignment horizontal="center"/>
    </xf>
    <xf numFmtId="0" fontId="51" fillId="0" borderId="13" xfId="0" applyFont="1" applyFill="1" applyBorder="1"/>
    <xf numFmtId="1" fontId="53" fillId="0" borderId="31" xfId="0" applyNumberFormat="1" applyFont="1" applyFill="1" applyBorder="1" applyAlignment="1">
      <alignment horizontal="left"/>
    </xf>
    <xf numFmtId="0" fontId="53" fillId="0" borderId="32" xfId="0" applyFont="1" applyFill="1" applyBorder="1" applyAlignment="1">
      <alignment horizontal="left"/>
    </xf>
    <xf numFmtId="0" fontId="53" fillId="0" borderId="13" xfId="0" applyFont="1" applyFill="1" applyBorder="1" applyAlignment="1">
      <alignment horizontal="center"/>
    </xf>
    <xf numFmtId="193" fontId="55" fillId="0" borderId="35" xfId="1" applyNumberFormat="1" applyFont="1" applyFill="1" applyBorder="1"/>
    <xf numFmtId="193" fontId="54" fillId="0" borderId="35" xfId="1" applyNumberFormat="1" applyFont="1" applyFill="1" applyBorder="1"/>
    <xf numFmtId="193" fontId="53" fillId="0" borderId="47" xfId="1" applyNumberFormat="1" applyFont="1" applyFill="1" applyBorder="1"/>
    <xf numFmtId="193" fontId="53" fillId="0" borderId="13" xfId="1" applyNumberFormat="1" applyFont="1" applyFill="1" applyBorder="1"/>
    <xf numFmtId="193" fontId="51" fillId="0" borderId="0" xfId="1" applyNumberFormat="1" applyFont="1" applyFill="1" applyBorder="1"/>
    <xf numFmtId="0" fontId="51" fillId="0" borderId="38" xfId="0" applyFont="1" applyFill="1" applyBorder="1"/>
    <xf numFmtId="1" fontId="53" fillId="0" borderId="36" xfId="0" applyNumberFormat="1" applyFont="1" applyFill="1" applyBorder="1" applyAlignment="1">
      <alignment horizontal="left"/>
    </xf>
    <xf numFmtId="0" fontId="53" fillId="0" borderId="37" xfId="0" applyFont="1" applyFill="1" applyBorder="1" applyAlignment="1">
      <alignment horizontal="left"/>
    </xf>
    <xf numFmtId="0" fontId="53" fillId="0" borderId="38" xfId="0" applyFont="1" applyFill="1" applyBorder="1" applyAlignment="1">
      <alignment horizontal="center"/>
    </xf>
    <xf numFmtId="193" fontId="53" fillId="0" borderId="38" xfId="1" applyNumberFormat="1" applyFont="1" applyFill="1" applyBorder="1"/>
    <xf numFmtId="1" fontId="53" fillId="0" borderId="33" xfId="0" applyNumberFormat="1" applyFont="1" applyFill="1" applyBorder="1" applyAlignment="1">
      <alignment horizontal="left"/>
    </xf>
    <xf numFmtId="1" fontId="53" fillId="0" borderId="39" xfId="0" applyNumberFormat="1" applyFont="1" applyFill="1" applyBorder="1" applyAlignment="1">
      <alignment horizontal="left"/>
    </xf>
    <xf numFmtId="0" fontId="51" fillId="0" borderId="44" xfId="0" applyFont="1" applyFill="1" applyBorder="1"/>
    <xf numFmtId="1" fontId="53" fillId="0" borderId="42" xfId="0" applyNumberFormat="1" applyFont="1" applyFill="1" applyBorder="1" applyAlignment="1">
      <alignment horizontal="left"/>
    </xf>
    <xf numFmtId="0" fontId="53" fillId="0" borderId="43" xfId="0" applyFont="1" applyFill="1" applyBorder="1" applyAlignment="1">
      <alignment horizontal="left"/>
    </xf>
    <xf numFmtId="0" fontId="53" fillId="0" borderId="44" xfId="0" applyFont="1" applyFill="1" applyBorder="1" applyAlignment="1">
      <alignment horizontal="center"/>
    </xf>
    <xf numFmtId="193" fontId="55" fillId="0" borderId="13" xfId="1" applyNumberFormat="1" applyFont="1" applyFill="1" applyBorder="1"/>
    <xf numFmtId="193" fontId="53" fillId="0" borderId="44" xfId="1" applyNumberFormat="1" applyFont="1" applyFill="1" applyBorder="1"/>
    <xf numFmtId="0" fontId="51" fillId="0" borderId="49" xfId="0" applyFont="1" applyFill="1" applyBorder="1"/>
    <xf numFmtId="193" fontId="55" fillId="0" borderId="3" xfId="1" applyNumberFormat="1" applyFont="1" applyFill="1" applyBorder="1"/>
    <xf numFmtId="0" fontId="51" fillId="0" borderId="35" xfId="0" applyFont="1" applyFill="1" applyBorder="1"/>
    <xf numFmtId="0" fontId="53" fillId="0" borderId="34" xfId="0" applyFont="1" applyFill="1" applyBorder="1" applyAlignment="1">
      <alignment horizontal="left"/>
    </xf>
    <xf numFmtId="0" fontId="53" fillId="0" borderId="35" xfId="0" applyFont="1" applyFill="1" applyBorder="1" applyAlignment="1">
      <alignment horizontal="center"/>
    </xf>
    <xf numFmtId="193" fontId="53" fillId="0" borderId="35" xfId="1" applyNumberFormat="1" applyFont="1" applyFill="1" applyBorder="1"/>
    <xf numFmtId="43" fontId="51" fillId="0" borderId="0" xfId="0" applyNumberFormat="1" applyFont="1" applyFill="1" applyBorder="1"/>
    <xf numFmtId="0" fontId="51" fillId="0" borderId="47" xfId="0" applyFont="1" applyFill="1" applyBorder="1"/>
    <xf numFmtId="0" fontId="53" fillId="0" borderId="45" xfId="0" applyFont="1" applyFill="1" applyBorder="1" applyAlignment="1">
      <alignment horizontal="left"/>
    </xf>
    <xf numFmtId="0" fontId="53" fillId="0" borderId="46" xfId="0" applyFont="1" applyFill="1" applyBorder="1" applyAlignment="1">
      <alignment horizontal="left"/>
    </xf>
    <xf numFmtId="0" fontId="53" fillId="0" borderId="47" xfId="0" applyFont="1" applyFill="1" applyBorder="1" applyAlignment="1">
      <alignment horizontal="center"/>
    </xf>
    <xf numFmtId="193" fontId="55" fillId="0" borderId="47" xfId="1" applyNumberFormat="1" applyFont="1" applyFill="1" applyBorder="1"/>
    <xf numFmtId="193" fontId="55" fillId="0" borderId="38" xfId="1" applyNumberFormat="1" applyFont="1" applyFill="1" applyBorder="1"/>
    <xf numFmtId="0" fontId="51" fillId="0" borderId="2" xfId="0" applyFont="1" applyFill="1" applyBorder="1"/>
    <xf numFmtId="0" fontId="53" fillId="0" borderId="2" xfId="0" applyFont="1" applyFill="1" applyBorder="1" applyAlignment="1">
      <alignment horizontal="center"/>
    </xf>
    <xf numFmtId="193" fontId="55" fillId="0" borderId="44" xfId="1" applyNumberFormat="1" applyFont="1" applyFill="1" applyBorder="1"/>
    <xf numFmtId="193" fontId="53" fillId="0" borderId="41" xfId="1" applyNumberFormat="1" applyFont="1" applyFill="1" applyBorder="1"/>
    <xf numFmtId="0" fontId="37" fillId="0" borderId="3" xfId="0" applyFont="1" applyFill="1" applyBorder="1" applyAlignment="1">
      <alignment horizontal="left"/>
    </xf>
    <xf numFmtId="0" fontId="50" fillId="0" borderId="13" xfId="0" applyFont="1" applyFill="1" applyBorder="1"/>
    <xf numFmtId="0" fontId="53" fillId="0" borderId="39" xfId="0" applyFont="1" applyFill="1" applyBorder="1" applyAlignment="1">
      <alignment horizontal="left"/>
    </xf>
    <xf numFmtId="193" fontId="54" fillId="0" borderId="13" xfId="1" applyNumberFormat="1" applyFont="1" applyFill="1" applyBorder="1"/>
    <xf numFmtId="0" fontId="53" fillId="0" borderId="36" xfId="0" applyFont="1" applyFill="1" applyBorder="1" applyAlignment="1">
      <alignment horizontal="left"/>
    </xf>
    <xf numFmtId="193" fontId="54" fillId="0" borderId="38" xfId="1" applyNumberFormat="1" applyFont="1" applyFill="1" applyBorder="1"/>
    <xf numFmtId="0" fontId="53" fillId="0" borderId="33" xfId="0" applyFont="1" applyFill="1" applyBorder="1" applyAlignment="1">
      <alignment horizontal="left"/>
    </xf>
    <xf numFmtId="0" fontId="37" fillId="0" borderId="22" xfId="0" applyFont="1" applyFill="1" applyBorder="1" applyAlignment="1">
      <alignment horizontal="left"/>
    </xf>
    <xf numFmtId="49" fontId="53" fillId="0" borderId="33" xfId="0" applyNumberFormat="1" applyFont="1" applyFill="1" applyBorder="1" applyAlignment="1">
      <alignment horizontal="left"/>
    </xf>
    <xf numFmtId="193" fontId="54" fillId="0" borderId="44" xfId="1" applyNumberFormat="1" applyFont="1" applyFill="1" applyBorder="1"/>
    <xf numFmtId="1" fontId="53" fillId="0" borderId="19" xfId="0" applyNumberFormat="1" applyFont="1" applyFill="1" applyBorder="1" applyAlignment="1">
      <alignment horizontal="left"/>
    </xf>
    <xf numFmtId="193" fontId="53" fillId="17" borderId="44" xfId="1" applyNumberFormat="1" applyFont="1" applyFill="1" applyBorder="1"/>
    <xf numFmtId="0" fontId="51" fillId="0" borderId="41" xfId="0" applyFont="1" applyFill="1" applyBorder="1"/>
    <xf numFmtId="0" fontId="53" fillId="0" borderId="40" xfId="0" applyFont="1" applyFill="1" applyBorder="1" applyAlignment="1">
      <alignment horizontal="left"/>
    </xf>
    <xf numFmtId="0" fontId="53" fillId="0" borderId="41" xfId="0" applyFont="1" applyFill="1" applyBorder="1" applyAlignment="1">
      <alignment horizontal="center"/>
    </xf>
    <xf numFmtId="193" fontId="53" fillId="0" borderId="2" xfId="1" applyNumberFormat="1" applyFont="1" applyFill="1" applyBorder="1"/>
    <xf numFmtId="193" fontId="37" fillId="0" borderId="7" xfId="1" applyNumberFormat="1" applyFont="1" applyFill="1" applyBorder="1"/>
    <xf numFmtId="0" fontId="51" fillId="0" borderId="35" xfId="0" applyFont="1" applyFill="1" applyBorder="1" applyAlignment="1">
      <alignment horizontal="right"/>
    </xf>
    <xf numFmtId="0" fontId="37" fillId="0" borderId="44" xfId="0" applyFont="1" applyFill="1" applyBorder="1"/>
    <xf numFmtId="0" fontId="37" fillId="0" borderId="0" xfId="0" applyFont="1" applyFill="1" applyBorder="1"/>
    <xf numFmtId="0" fontId="51" fillId="0" borderId="3" xfId="0" applyFont="1" applyFill="1" applyBorder="1" applyAlignment="1"/>
    <xf numFmtId="193" fontId="56" fillId="0" borderId="3" xfId="1" applyNumberFormat="1" applyFont="1" applyFill="1" applyBorder="1"/>
    <xf numFmtId="193" fontId="54" fillId="0" borderId="3" xfId="1" applyNumberFormat="1" applyFont="1" applyFill="1" applyBorder="1" applyAlignment="1">
      <alignment horizontal="center"/>
    </xf>
    <xf numFmtId="0" fontId="51" fillId="0" borderId="3" xfId="0" applyFont="1" applyFill="1" applyBorder="1" applyAlignment="1">
      <alignment horizontal="right"/>
    </xf>
    <xf numFmtId="0" fontId="53" fillId="0" borderId="15" xfId="0" applyFont="1" applyFill="1" applyBorder="1" applyAlignment="1">
      <alignment horizontal="left"/>
    </xf>
    <xf numFmtId="0" fontId="53" fillId="0" borderId="7" xfId="0" applyFont="1" applyFill="1" applyBorder="1" applyAlignment="1">
      <alignment horizontal="left"/>
    </xf>
    <xf numFmtId="0" fontId="53" fillId="0" borderId="3" xfId="0" applyFont="1" applyFill="1" applyBorder="1" applyAlignment="1">
      <alignment horizontal="center"/>
    </xf>
    <xf numFmtId="193" fontId="53" fillId="0" borderId="3" xfId="1" applyNumberFormat="1" applyFont="1" applyFill="1" applyBorder="1"/>
    <xf numFmtId="43" fontId="57" fillId="0" borderId="0" xfId="0" applyNumberFormat="1" applyFont="1" applyFill="1" applyBorder="1"/>
    <xf numFmtId="193" fontId="56" fillId="0" borderId="35" xfId="1" applyNumberFormat="1" applyFont="1" applyFill="1" applyBorder="1"/>
    <xf numFmtId="193" fontId="54" fillId="0" borderId="35" xfId="1" applyNumberFormat="1" applyFont="1" applyFill="1" applyBorder="1" applyAlignment="1">
      <alignment horizontal="center"/>
    </xf>
    <xf numFmtId="0" fontId="53" fillId="0" borderId="42" xfId="0" applyFont="1" applyFill="1" applyBorder="1" applyAlignment="1">
      <alignment horizontal="left"/>
    </xf>
    <xf numFmtId="193" fontId="56" fillId="0" borderId="13" xfId="1" applyNumberFormat="1" applyFont="1" applyFill="1" applyBorder="1"/>
    <xf numFmtId="193" fontId="54" fillId="0" borderId="44" xfId="1" applyNumberFormat="1" applyFont="1" applyFill="1" applyBorder="1" applyAlignment="1">
      <alignment horizontal="center"/>
    </xf>
    <xf numFmtId="0" fontId="37" fillId="0" borderId="2" xfId="0" applyFont="1" applyFill="1" applyBorder="1" applyAlignment="1">
      <alignment horizontal="left"/>
    </xf>
    <xf numFmtId="193" fontId="33" fillId="0" borderId="2" xfId="1" applyNumberFormat="1" applyFont="1" applyFill="1" applyBorder="1" applyAlignment="1">
      <alignment horizontal="left"/>
    </xf>
    <xf numFmtId="0" fontId="37" fillId="0" borderId="47" xfId="0" applyFont="1" applyFill="1" applyBorder="1"/>
    <xf numFmtId="0" fontId="55" fillId="0" borderId="45" xfId="0" applyFont="1" applyFill="1" applyBorder="1" applyAlignment="1">
      <alignment horizontal="center"/>
    </xf>
    <xf numFmtId="0" fontId="55" fillId="0" borderId="46" xfId="0" applyFont="1" applyFill="1" applyBorder="1" applyAlignment="1">
      <alignment horizontal="left"/>
    </xf>
    <xf numFmtId="0" fontId="55" fillId="0" borderId="47" xfId="0" applyFont="1" applyFill="1" applyBorder="1" applyAlignment="1">
      <alignment horizontal="center"/>
    </xf>
    <xf numFmtId="193" fontId="58" fillId="0" borderId="47" xfId="1" applyNumberFormat="1" applyFont="1" applyFill="1" applyBorder="1"/>
    <xf numFmtId="193" fontId="54" fillId="0" borderId="47" xfId="1" applyNumberFormat="1" applyFont="1" applyFill="1" applyBorder="1"/>
    <xf numFmtId="0" fontId="37" fillId="0" borderId="35" xfId="0" applyFont="1" applyFill="1" applyBorder="1"/>
    <xf numFmtId="0" fontId="53" fillId="0" borderId="33" xfId="0" applyFont="1" applyFill="1" applyBorder="1" applyAlignment="1">
      <alignment horizontal="center"/>
    </xf>
    <xf numFmtId="0" fontId="37" fillId="0" borderId="38" xfId="0" applyFont="1" applyFill="1" applyBorder="1"/>
    <xf numFmtId="0" fontId="53" fillId="0" borderId="36" xfId="0" applyFont="1" applyFill="1" applyBorder="1" applyAlignment="1">
      <alignment horizontal="center"/>
    </xf>
    <xf numFmtId="0" fontId="53" fillId="0" borderId="38" xfId="0" applyFont="1" applyFill="1" applyBorder="1" applyAlignment="1">
      <alignment horizontal="center" vertical="top"/>
    </xf>
    <xf numFmtId="193" fontId="54" fillId="0" borderId="38" xfId="1" applyNumberFormat="1" applyFont="1" applyFill="1" applyBorder="1" applyAlignment="1">
      <alignment horizontal="center"/>
    </xf>
    <xf numFmtId="193" fontId="56" fillId="0" borderId="38" xfId="1" applyNumberFormat="1" applyFont="1" applyFill="1" applyBorder="1"/>
    <xf numFmtId="0" fontId="50" fillId="0" borderId="41" xfId="0" applyFont="1" applyFill="1" applyBorder="1"/>
    <xf numFmtId="0" fontId="53" fillId="0" borderId="39" xfId="0" applyFont="1" applyFill="1" applyBorder="1" applyAlignment="1">
      <alignment horizontal="center"/>
    </xf>
    <xf numFmtId="193" fontId="54" fillId="0" borderId="41" xfId="1" applyNumberFormat="1" applyFont="1" applyFill="1" applyBorder="1" applyAlignment="1">
      <alignment horizontal="center"/>
    </xf>
    <xf numFmtId="193" fontId="56" fillId="0" borderId="41" xfId="1" applyNumberFormat="1" applyFont="1" applyFill="1" applyBorder="1"/>
    <xf numFmtId="0" fontId="50" fillId="0" borderId="38" xfId="0" applyFont="1" applyFill="1" applyBorder="1"/>
    <xf numFmtId="0" fontId="53" fillId="0" borderId="35" xfId="0" applyFont="1" applyFill="1" applyBorder="1" applyAlignment="1">
      <alignment horizontal="center" vertical="top"/>
    </xf>
    <xf numFmtId="0" fontId="53" fillId="0" borderId="42" xfId="0" applyFont="1" applyFill="1" applyBorder="1" applyAlignment="1">
      <alignment horizontal="center"/>
    </xf>
    <xf numFmtId="193" fontId="53" fillId="0" borderId="44" xfId="1" applyNumberFormat="1" applyFont="1" applyFill="1" applyBorder="1" applyAlignment="1">
      <alignment horizontal="center"/>
    </xf>
    <xf numFmtId="193" fontId="56" fillId="0" borderId="44" xfId="1" applyNumberFormat="1" applyFont="1" applyFill="1" applyBorder="1"/>
    <xf numFmtId="0" fontId="51" fillId="0" borderId="50" xfId="0" applyFont="1" applyFill="1" applyBorder="1"/>
    <xf numFmtId="0" fontId="53" fillId="0" borderId="31" xfId="0" applyFont="1" applyFill="1" applyBorder="1" applyAlignment="1">
      <alignment horizontal="center"/>
    </xf>
    <xf numFmtId="193" fontId="54" fillId="0" borderId="13" xfId="1" applyNumberFormat="1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left"/>
    </xf>
    <xf numFmtId="4" fontId="53" fillId="0" borderId="0" xfId="0" applyNumberFormat="1" applyFont="1" applyFill="1" applyBorder="1"/>
    <xf numFmtId="193" fontId="54" fillId="0" borderId="0" xfId="1" applyNumberFormat="1" applyFont="1" applyFill="1" applyBorder="1" applyAlignment="1">
      <alignment horizontal="left"/>
    </xf>
    <xf numFmtId="193" fontId="53" fillId="0" borderId="0" xfId="1" applyNumberFormat="1" applyFont="1" applyFill="1" applyBorder="1"/>
    <xf numFmtId="0" fontId="37" fillId="0" borderId="0" xfId="0" applyFont="1" applyFill="1" applyBorder="1" applyAlignment="1">
      <alignment horizontal="center"/>
    </xf>
    <xf numFmtId="193" fontId="37" fillId="0" borderId="0" xfId="1" applyNumberFormat="1" applyFont="1" applyFill="1" applyBorder="1"/>
    <xf numFmtId="4" fontId="53" fillId="0" borderId="0" xfId="0" applyNumberFormat="1" applyFont="1" applyFill="1" applyBorder="1" applyAlignment="1">
      <alignment horizontal="center"/>
    </xf>
    <xf numFmtId="0" fontId="50" fillId="0" borderId="0" xfId="0" applyFont="1" applyFill="1"/>
    <xf numFmtId="0" fontId="50" fillId="0" borderId="0" xfId="0" applyFont="1" applyFill="1" applyAlignment="1">
      <alignment horizontal="center"/>
    </xf>
    <xf numFmtId="0" fontId="53" fillId="0" borderId="0" xfId="0" applyFont="1" applyFill="1" applyAlignment="1">
      <alignment horizontal="left"/>
    </xf>
    <xf numFmtId="4" fontId="53" fillId="0" borderId="0" xfId="0" applyNumberFormat="1" applyFont="1" applyFill="1"/>
    <xf numFmtId="193" fontId="54" fillId="0" borderId="0" xfId="1" applyNumberFormat="1" applyFont="1" applyFill="1" applyAlignment="1">
      <alignment horizontal="left"/>
    </xf>
    <xf numFmtId="0" fontId="53" fillId="0" borderId="0" xfId="0" applyFont="1" applyFill="1"/>
    <xf numFmtId="193" fontId="53" fillId="0" borderId="0" xfId="0" applyNumberFormat="1" applyFont="1" applyFill="1"/>
    <xf numFmtId="193" fontId="37" fillId="0" borderId="0" xfId="0" applyNumberFormat="1" applyFont="1" applyFill="1"/>
    <xf numFmtId="193" fontId="53" fillId="0" borderId="0" xfId="1" applyNumberFormat="1" applyFont="1" applyFill="1"/>
    <xf numFmtId="0" fontId="50" fillId="0" borderId="0" xfId="0" applyFont="1" applyFill="1" applyAlignment="1">
      <alignment vertical="top"/>
    </xf>
    <xf numFmtId="0" fontId="50" fillId="0" borderId="0" xfId="0" applyFont="1" applyFill="1" applyBorder="1" applyAlignment="1">
      <alignment vertical="top"/>
    </xf>
    <xf numFmtId="0" fontId="10" fillId="0" borderId="14" xfId="0" applyFont="1" applyFill="1" applyBorder="1" applyAlignment="1">
      <alignment horizontal="center" vertical="top"/>
    </xf>
    <xf numFmtId="0" fontId="59" fillId="0" borderId="14" xfId="0" applyFont="1" applyFill="1" applyBorder="1" applyAlignment="1">
      <alignment horizontal="right" vertical="top"/>
    </xf>
    <xf numFmtId="0" fontId="59" fillId="0" borderId="14" xfId="0" applyFont="1" applyFill="1" applyBorder="1" applyAlignment="1">
      <alignment horizontal="center" vertical="top"/>
    </xf>
    <xf numFmtId="193" fontId="59" fillId="0" borderId="14" xfId="1" applyNumberFormat="1" applyFont="1" applyFill="1" applyBorder="1" applyAlignment="1">
      <alignment horizontal="right" vertical="top"/>
    </xf>
    <xf numFmtId="193" fontId="59" fillId="0" borderId="14" xfId="1" applyNumberFormat="1" applyFont="1" applyFill="1" applyBorder="1" applyAlignment="1">
      <alignment horizontal="center" vertical="top"/>
    </xf>
    <xf numFmtId="2" fontId="59" fillId="0" borderId="14" xfId="0" applyNumberFormat="1" applyFont="1" applyFill="1" applyBorder="1" applyAlignment="1">
      <alignment horizontal="center" vertical="top"/>
    </xf>
    <xf numFmtId="0" fontId="37" fillId="2" borderId="3" xfId="0" applyFont="1" applyFill="1" applyBorder="1" applyAlignment="1">
      <alignment horizontal="center" vertical="top" wrapText="1"/>
    </xf>
    <xf numFmtId="0" fontId="37" fillId="2" borderId="7" xfId="0" applyFont="1" applyFill="1" applyBorder="1" applyAlignment="1">
      <alignment horizontal="center" vertical="top"/>
    </xf>
    <xf numFmtId="193" fontId="37" fillId="2" borderId="3" xfId="1" applyNumberFormat="1" applyFont="1" applyFill="1" applyBorder="1" applyAlignment="1">
      <alignment horizontal="center" vertical="top" wrapText="1"/>
    </xf>
    <xf numFmtId="0" fontId="37" fillId="2" borderId="3" xfId="0" applyFont="1" applyFill="1" applyBorder="1" applyAlignment="1">
      <alignment horizontal="center" vertical="top"/>
    </xf>
    <xf numFmtId="0" fontId="53" fillId="0" borderId="0" xfId="0" applyFont="1" applyFill="1" applyAlignment="1">
      <alignment horizontal="center" vertical="top"/>
    </xf>
    <xf numFmtId="0" fontId="37" fillId="0" borderId="9" xfId="0" applyFont="1" applyFill="1" applyBorder="1" applyAlignment="1">
      <alignment horizontal="center" vertical="top" wrapText="1"/>
    </xf>
    <xf numFmtId="0" fontId="37" fillId="0" borderId="10" xfId="0" applyFont="1" applyFill="1" applyBorder="1" applyAlignment="1">
      <alignment horizontal="center" vertical="top" wrapText="1"/>
    </xf>
    <xf numFmtId="0" fontId="37" fillId="0" borderId="11" xfId="0" applyFont="1" applyFill="1" applyBorder="1" applyAlignment="1">
      <alignment horizontal="center" vertical="top" wrapText="1"/>
    </xf>
    <xf numFmtId="0" fontId="37" fillId="0" borderId="11" xfId="0" applyFont="1" applyFill="1" applyBorder="1" applyAlignment="1">
      <alignment horizontal="center" vertical="top"/>
    </xf>
    <xf numFmtId="193" fontId="37" fillId="0" borderId="9" xfId="1" applyNumberFormat="1" applyFont="1" applyFill="1" applyBorder="1" applyAlignment="1">
      <alignment horizontal="right" vertical="top"/>
    </xf>
    <xf numFmtId="193" fontId="37" fillId="0" borderId="9" xfId="1" applyNumberFormat="1" applyFont="1" applyFill="1" applyBorder="1" applyAlignment="1">
      <alignment vertical="top"/>
    </xf>
    <xf numFmtId="193" fontId="53" fillId="0" borderId="0" xfId="0" applyNumberFormat="1" applyFont="1" applyFill="1" applyAlignment="1">
      <alignment vertical="top"/>
    </xf>
    <xf numFmtId="43" fontId="53" fillId="0" borderId="0" xfId="0" applyNumberFormat="1" applyFont="1" applyFill="1" applyAlignment="1">
      <alignment vertical="top"/>
    </xf>
    <xf numFmtId="0" fontId="53" fillId="0" borderId="0" xfId="0" applyFont="1" applyFill="1" applyAlignment="1">
      <alignment vertical="top"/>
    </xf>
    <xf numFmtId="0" fontId="37" fillId="0" borderId="48" xfId="0" applyFont="1" applyFill="1" applyBorder="1" applyAlignment="1">
      <alignment horizontal="center" vertical="top"/>
    </xf>
    <xf numFmtId="0" fontId="37" fillId="0" borderId="39" xfId="0" applyFont="1" applyFill="1" applyBorder="1" applyAlignment="1">
      <alignment horizontal="left" vertical="top"/>
    </xf>
    <xf numFmtId="0" fontId="53" fillId="0" borderId="40" xfId="0" applyFont="1" applyFill="1" applyBorder="1" applyAlignment="1">
      <alignment horizontal="left" vertical="top"/>
    </xf>
    <xf numFmtId="0" fontId="53" fillId="0" borderId="40" xfId="0" applyFont="1" applyFill="1" applyBorder="1" applyAlignment="1">
      <alignment horizontal="center" vertical="top"/>
    </xf>
    <xf numFmtId="193" fontId="37" fillId="0" borderId="41" xfId="1" applyNumberFormat="1" applyFont="1" applyFill="1" applyBorder="1" applyAlignment="1">
      <alignment horizontal="right" vertical="top"/>
    </xf>
    <xf numFmtId="193" fontId="37" fillId="0" borderId="48" xfId="1" applyNumberFormat="1" applyFont="1" applyFill="1" applyBorder="1" applyAlignment="1">
      <alignment vertical="top"/>
    </xf>
    <xf numFmtId="195" fontId="37" fillId="0" borderId="0" xfId="1" applyNumberFormat="1" applyFont="1" applyFill="1" applyAlignment="1">
      <alignment vertical="top"/>
    </xf>
    <xf numFmtId="195" fontId="37" fillId="0" borderId="0" xfId="0" applyNumberFormat="1" applyFont="1" applyFill="1" applyAlignment="1">
      <alignment vertical="top"/>
    </xf>
    <xf numFmtId="0" fontId="37" fillId="0" borderId="0" xfId="0" applyFont="1" applyFill="1" applyAlignment="1">
      <alignment vertical="top"/>
    </xf>
    <xf numFmtId="0" fontId="37" fillId="0" borderId="3" xfId="0" applyFont="1" applyFill="1" applyBorder="1" applyAlignment="1">
      <alignment vertical="top"/>
    </xf>
    <xf numFmtId="0" fontId="37" fillId="0" borderId="15" xfId="0" applyFont="1" applyFill="1" applyBorder="1" applyAlignment="1">
      <alignment horizontal="left" vertical="top"/>
    </xf>
    <xf numFmtId="0" fontId="37" fillId="0" borderId="7" xfId="0" applyFont="1" applyFill="1" applyBorder="1" applyAlignment="1">
      <alignment horizontal="left" vertical="top"/>
    </xf>
    <xf numFmtId="0" fontId="37" fillId="0" borderId="3" xfId="0" applyFont="1" applyFill="1" applyBorder="1" applyAlignment="1">
      <alignment horizontal="center" vertical="top"/>
    </xf>
    <xf numFmtId="193" fontId="37" fillId="0" borderId="3" xfId="1" applyNumberFormat="1" applyFont="1" applyFill="1" applyBorder="1" applyAlignment="1">
      <alignment horizontal="right" vertical="top"/>
    </xf>
    <xf numFmtId="193" fontId="37" fillId="0" borderId="3" xfId="1" applyNumberFormat="1" applyFont="1" applyFill="1" applyBorder="1" applyAlignment="1">
      <alignment vertical="top"/>
    </xf>
    <xf numFmtId="193" fontId="8" fillId="0" borderId="0" xfId="1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13" xfId="0" applyFont="1" applyFill="1" applyBorder="1" applyAlignment="1">
      <alignment vertical="top" wrapText="1"/>
    </xf>
    <xf numFmtId="1" fontId="8" fillId="0" borderId="31" xfId="0" applyNumberFormat="1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top"/>
    </xf>
    <xf numFmtId="193" fontId="8" fillId="0" borderId="13" xfId="1" applyNumberFormat="1" applyFont="1" applyFill="1" applyBorder="1" applyAlignment="1">
      <alignment horizontal="right" vertical="top"/>
    </xf>
    <xf numFmtId="193" fontId="8" fillId="0" borderId="13" xfId="1" applyNumberFormat="1" applyFont="1" applyFill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60" fillId="0" borderId="0" xfId="0" applyFont="1" applyFill="1" applyAlignment="1">
      <alignment vertical="top"/>
    </xf>
    <xf numFmtId="0" fontId="15" fillId="0" borderId="13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horizontal="center" vertical="top"/>
    </xf>
    <xf numFmtId="193" fontId="15" fillId="0" borderId="13" xfId="1" applyNumberFormat="1" applyFont="1" applyFill="1" applyBorder="1" applyAlignment="1">
      <alignment horizontal="right" vertical="top"/>
    </xf>
    <xf numFmtId="193" fontId="15" fillId="0" borderId="13" xfId="1" applyNumberFormat="1" applyFont="1" applyFill="1" applyBorder="1" applyAlignment="1">
      <alignment vertical="top"/>
    </xf>
    <xf numFmtId="0" fontId="15" fillId="0" borderId="0" xfId="0" applyFont="1" applyFill="1" applyAlignment="1">
      <alignment vertical="top"/>
    </xf>
    <xf numFmtId="0" fontId="15" fillId="0" borderId="13" xfId="0" applyFont="1" applyFill="1" applyBorder="1" applyAlignment="1">
      <alignment horizontal="center" vertical="top" wrapText="1"/>
    </xf>
    <xf numFmtId="193" fontId="15" fillId="0" borderId="13" xfId="1" applyNumberFormat="1" applyFont="1" applyFill="1" applyBorder="1" applyAlignment="1">
      <alignment horizontal="right" vertical="top" wrapText="1"/>
    </xf>
    <xf numFmtId="193" fontId="15" fillId="0" borderId="13" xfId="1" applyNumberFormat="1" applyFont="1" applyFill="1" applyBorder="1" applyAlignment="1">
      <alignment vertical="top" wrapText="1"/>
    </xf>
    <xf numFmtId="0" fontId="15" fillId="0" borderId="0" xfId="0" applyFont="1" applyFill="1" applyAlignment="1">
      <alignment vertical="top" wrapText="1"/>
    </xf>
    <xf numFmtId="193" fontId="61" fillId="0" borderId="13" xfId="1" applyNumberFormat="1" applyFont="1" applyFill="1" applyBorder="1" applyAlignment="1">
      <alignment horizontal="right" vertical="top" wrapText="1"/>
    </xf>
    <xf numFmtId="193" fontId="62" fillId="0" borderId="13" xfId="1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193" fontId="61" fillId="0" borderId="2" xfId="1" applyNumberFormat="1" applyFont="1" applyFill="1" applyBorder="1" applyAlignment="1">
      <alignment horizontal="right" vertical="top" wrapText="1"/>
    </xf>
    <xf numFmtId="193" fontId="15" fillId="0" borderId="2" xfId="1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/>
    </xf>
    <xf numFmtId="0" fontId="15" fillId="0" borderId="2" xfId="0" applyFont="1" applyFill="1" applyBorder="1" applyAlignment="1">
      <alignment horizontal="center" vertical="top"/>
    </xf>
    <xf numFmtId="193" fontId="15" fillId="0" borderId="2" xfId="1" applyNumberFormat="1" applyFont="1" applyFill="1" applyBorder="1" applyAlignment="1">
      <alignment horizontal="right" vertical="top"/>
    </xf>
    <xf numFmtId="193" fontId="15" fillId="0" borderId="2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5" fillId="0" borderId="2" xfId="0" applyFont="1" applyFill="1" applyBorder="1" applyAlignment="1">
      <alignment horizontal="center" vertical="top" wrapText="1"/>
    </xf>
    <xf numFmtId="193" fontId="15" fillId="0" borderId="2" xfId="1" applyNumberFormat="1" applyFont="1" applyFill="1" applyBorder="1" applyAlignment="1">
      <alignment horizontal="right" vertical="top" wrapText="1"/>
    </xf>
    <xf numFmtId="0" fontId="61" fillId="0" borderId="2" xfId="0" applyFont="1" applyFill="1" applyBorder="1" applyAlignment="1">
      <alignment vertical="top" wrapText="1"/>
    </xf>
    <xf numFmtId="0" fontId="61" fillId="0" borderId="2" xfId="0" applyFont="1" applyFill="1" applyBorder="1" applyAlignment="1">
      <alignment horizontal="center" vertical="top" wrapText="1"/>
    </xf>
    <xf numFmtId="193" fontId="61" fillId="0" borderId="2" xfId="1" applyNumberFormat="1" applyFont="1" applyFill="1" applyBorder="1" applyAlignment="1">
      <alignment vertical="top" wrapText="1"/>
    </xf>
    <xf numFmtId="0" fontId="61" fillId="0" borderId="0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center" vertical="top"/>
    </xf>
    <xf numFmtId="193" fontId="8" fillId="0" borderId="0" xfId="0" applyNumberFormat="1" applyFont="1" applyFill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193" fontId="8" fillId="0" borderId="1" xfId="1" applyNumberFormat="1" applyFont="1" applyFill="1" applyBorder="1" applyAlignment="1">
      <alignment horizontal="right" vertical="top"/>
    </xf>
    <xf numFmtId="193" fontId="8" fillId="0" borderId="1" xfId="1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49" fontId="8" fillId="0" borderId="3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193" fontId="61" fillId="0" borderId="1" xfId="1" applyNumberFormat="1" applyFont="1" applyFill="1" applyBorder="1" applyAlignment="1">
      <alignment horizontal="right" vertical="top" wrapText="1"/>
    </xf>
    <xf numFmtId="193" fontId="62" fillId="0" borderId="1" xfId="1" applyNumberFormat="1" applyFont="1" applyFill="1" applyBorder="1" applyAlignment="1">
      <alignment horizontal="right" vertical="top" wrapText="1"/>
    </xf>
    <xf numFmtId="193" fontId="15" fillId="0" borderId="1" xfId="1" applyNumberFormat="1" applyFont="1" applyFill="1" applyBorder="1" applyAlignment="1">
      <alignment vertical="top" wrapText="1"/>
    </xf>
    <xf numFmtId="0" fontId="61" fillId="0" borderId="13" xfId="0" applyFont="1" applyFill="1" applyBorder="1" applyAlignment="1">
      <alignment vertical="top" wrapText="1"/>
    </xf>
    <xf numFmtId="193" fontId="61" fillId="0" borderId="13" xfId="1" applyNumberFormat="1" applyFont="1" applyFill="1" applyBorder="1" applyAlignment="1">
      <alignment vertical="top" wrapText="1"/>
    </xf>
    <xf numFmtId="0" fontId="37" fillId="0" borderId="3" xfId="0" applyFont="1" applyFill="1" applyBorder="1" applyAlignment="1">
      <alignment vertical="top" wrapText="1"/>
    </xf>
    <xf numFmtId="0" fontId="8" fillId="0" borderId="31" xfId="0" applyFont="1" applyFill="1" applyBorder="1" applyAlignment="1">
      <alignment vertical="top" wrapText="1"/>
    </xf>
    <xf numFmtId="0" fontId="8" fillId="0" borderId="3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center" vertical="top"/>
    </xf>
    <xf numFmtId="193" fontId="8" fillId="0" borderId="3" xfId="1" applyNumberFormat="1" applyFont="1" applyFill="1" applyBorder="1" applyAlignment="1">
      <alignment horizontal="right" vertical="top"/>
    </xf>
    <xf numFmtId="193" fontId="8" fillId="0" borderId="3" xfId="1" applyNumberFormat="1" applyFont="1" applyFill="1" applyBorder="1" applyAlignment="1">
      <alignment vertical="top"/>
    </xf>
    <xf numFmtId="1" fontId="8" fillId="0" borderId="4" xfId="0" applyNumberFormat="1" applyFont="1" applyFill="1" applyBorder="1" applyAlignment="1">
      <alignment horizontal="left" vertical="top" wrapText="1"/>
    </xf>
    <xf numFmtId="190" fontId="15" fillId="0" borderId="13" xfId="0" applyNumberFormat="1" applyFont="1" applyFill="1" applyBorder="1" applyAlignment="1">
      <alignment horizontal="center" vertical="top"/>
    </xf>
    <xf numFmtId="193" fontId="62" fillId="0" borderId="2" xfId="1" applyNumberFormat="1" applyFont="1" applyFill="1" applyBorder="1" applyAlignment="1">
      <alignment horizontal="right" vertical="top" wrapText="1"/>
    </xf>
    <xf numFmtId="0" fontId="61" fillId="0" borderId="13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/>
    </xf>
    <xf numFmtId="0" fontId="15" fillId="0" borderId="31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32" xfId="0" applyFont="1" applyFill="1" applyBorder="1" applyAlignment="1">
      <alignment horizontal="center" vertical="top"/>
    </xf>
    <xf numFmtId="0" fontId="15" fillId="0" borderId="22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/>
    </xf>
    <xf numFmtId="193" fontId="15" fillId="0" borderId="1" xfId="1" applyNumberFormat="1" applyFont="1" applyFill="1" applyBorder="1" applyAlignment="1">
      <alignment horizontal="right" vertical="top"/>
    </xf>
    <xf numFmtId="0" fontId="15" fillId="0" borderId="32" xfId="0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vertical="top" wrapText="1"/>
    </xf>
    <xf numFmtId="0" fontId="15" fillId="0" borderId="4" xfId="0" applyFont="1" applyFill="1" applyBorder="1" applyAlignment="1">
      <alignment horizontal="left" vertical="top" wrapText="1"/>
    </xf>
    <xf numFmtId="193" fontId="15" fillId="0" borderId="1" xfId="1" applyNumberFormat="1" applyFont="1" applyFill="1" applyBorder="1" applyAlignment="1">
      <alignment vertical="top"/>
    </xf>
    <xf numFmtId="0" fontId="8" fillId="0" borderId="3" xfId="0" applyFont="1" applyFill="1" applyBorder="1" applyAlignment="1">
      <alignment horizontal="center" vertical="top" wrapText="1"/>
    </xf>
    <xf numFmtId="0" fontId="8" fillId="0" borderId="51" xfId="0" applyFont="1" applyFill="1" applyBorder="1" applyAlignment="1">
      <alignment vertical="top" wrapText="1"/>
    </xf>
    <xf numFmtId="193" fontId="15" fillId="0" borderId="52" xfId="1" applyNumberFormat="1" applyFont="1" applyFill="1" applyBorder="1" applyAlignment="1">
      <alignment vertical="top"/>
    </xf>
    <xf numFmtId="0" fontId="15" fillId="0" borderId="53" xfId="1" applyNumberFormat="1" applyFont="1" applyFill="1" applyBorder="1" applyAlignment="1">
      <alignment vertical="top"/>
    </xf>
    <xf numFmtId="0" fontId="8" fillId="0" borderId="54" xfId="0" applyFont="1" applyFill="1" applyBorder="1" applyAlignment="1">
      <alignment vertical="top" wrapText="1"/>
    </xf>
    <xf numFmtId="0" fontId="15" fillId="0" borderId="56" xfId="0" applyFont="1" applyFill="1" applyBorder="1" applyAlignment="1">
      <alignment horizontal="center" vertical="top"/>
    </xf>
    <xf numFmtId="193" fontId="15" fillId="0" borderId="57" xfId="1" applyNumberFormat="1" applyFont="1" applyFill="1" applyBorder="1" applyAlignment="1">
      <alignment horizontal="right" vertical="top"/>
    </xf>
    <xf numFmtId="193" fontId="15" fillId="0" borderId="57" xfId="1" applyNumberFormat="1" applyFont="1" applyFill="1" applyBorder="1" applyAlignment="1">
      <alignment vertical="top"/>
    </xf>
    <xf numFmtId="193" fontId="15" fillId="0" borderId="58" xfId="1" applyNumberFormat="1" applyFont="1" applyFill="1" applyBorder="1" applyAlignment="1">
      <alignment vertical="top"/>
    </xf>
    <xf numFmtId="0" fontId="63" fillId="0" borderId="59" xfId="0" applyFont="1" applyFill="1" applyBorder="1" applyAlignment="1">
      <alignment vertical="top" wrapText="1"/>
    </xf>
    <xf numFmtId="0" fontId="61" fillId="0" borderId="34" xfId="0" applyFont="1" applyFill="1" applyBorder="1" applyAlignment="1">
      <alignment horizontal="center" vertical="top"/>
    </xf>
    <xf numFmtId="193" fontId="61" fillId="0" borderId="35" xfId="1" applyNumberFormat="1" applyFont="1" applyFill="1" applyBorder="1" applyAlignment="1">
      <alignment horizontal="right" vertical="top"/>
    </xf>
    <xf numFmtId="193" fontId="61" fillId="0" borderId="35" xfId="1" applyNumberFormat="1" applyFont="1" applyFill="1" applyBorder="1" applyAlignment="1">
      <alignment vertical="top"/>
    </xf>
    <xf numFmtId="193" fontId="61" fillId="0" borderId="60" xfId="1" applyNumberFormat="1" applyFont="1" applyFill="1" applyBorder="1" applyAlignment="1">
      <alignment vertical="top"/>
    </xf>
    <xf numFmtId="0" fontId="63" fillId="0" borderId="0" xfId="0" applyFont="1" applyFill="1" applyBorder="1" applyAlignment="1">
      <alignment vertical="top"/>
    </xf>
    <xf numFmtId="0" fontId="8" fillId="0" borderId="61" xfId="0" applyFont="1" applyFill="1" applyBorder="1" applyAlignment="1">
      <alignment vertical="top" wrapText="1"/>
    </xf>
    <xf numFmtId="0" fontId="8" fillId="0" borderId="31" xfId="0" applyFont="1" applyFill="1" applyBorder="1" applyAlignment="1">
      <alignment horizontal="center" vertical="top" wrapText="1"/>
    </xf>
    <xf numFmtId="193" fontId="15" fillId="0" borderId="62" xfId="1" applyNumberFormat="1" applyFont="1" applyFill="1" applyBorder="1" applyAlignment="1">
      <alignment vertical="top"/>
    </xf>
    <xf numFmtId="0" fontId="15" fillId="0" borderId="61" xfId="0" applyFont="1" applyFill="1" applyBorder="1" applyAlignment="1">
      <alignment vertical="top" wrapText="1"/>
    </xf>
    <xf numFmtId="0" fontId="8" fillId="0" borderId="63" xfId="0" applyFont="1" applyFill="1" applyBorder="1" applyAlignment="1">
      <alignment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left" vertical="top" wrapText="1"/>
    </xf>
    <xf numFmtId="193" fontId="15" fillId="0" borderId="64" xfId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15" fillId="0" borderId="14" xfId="0" applyFont="1" applyFill="1" applyBorder="1" applyAlignment="1">
      <alignment vertical="top"/>
    </xf>
    <xf numFmtId="193" fontId="15" fillId="0" borderId="0" xfId="1" applyNumberFormat="1" applyFont="1" applyFill="1" applyBorder="1" applyAlignment="1">
      <alignment vertical="top"/>
    </xf>
    <xf numFmtId="193" fontId="15" fillId="0" borderId="14" xfId="1" applyNumberFormat="1" applyFont="1" applyFill="1" applyBorder="1" applyAlignment="1">
      <alignment vertical="top"/>
    </xf>
    <xf numFmtId="49" fontId="8" fillId="0" borderId="4" xfId="0" applyNumberFormat="1" applyFont="1" applyFill="1" applyBorder="1" applyAlignment="1">
      <alignment horizontal="center" vertical="top" wrapText="1"/>
    </xf>
    <xf numFmtId="0" fontId="63" fillId="0" borderId="2" xfId="0" applyFont="1" applyFill="1" applyBorder="1" applyAlignment="1">
      <alignment vertical="top" wrapText="1"/>
    </xf>
    <xf numFmtId="193" fontId="61" fillId="0" borderId="2" xfId="1" applyNumberFormat="1" applyFont="1" applyFill="1" applyBorder="1" applyAlignment="1">
      <alignment vertical="top"/>
    </xf>
    <xf numFmtId="0" fontId="61" fillId="0" borderId="14" xfId="0" applyFont="1" applyFill="1" applyBorder="1" applyAlignment="1">
      <alignment vertical="top"/>
    </xf>
    <xf numFmtId="0" fontId="15" fillId="0" borderId="22" xfId="0" applyFont="1" applyFill="1" applyBorder="1" applyAlignment="1">
      <alignment horizontal="center" vertical="top"/>
    </xf>
    <xf numFmtId="0" fontId="50" fillId="0" borderId="0" xfId="0" applyFont="1" applyFill="1" applyAlignment="1">
      <alignment horizontal="center" vertical="top"/>
    </xf>
    <xf numFmtId="0" fontId="53" fillId="0" borderId="0" xfId="0" applyFont="1" applyFill="1" applyBorder="1" applyAlignment="1">
      <alignment horizontal="left" vertical="top"/>
    </xf>
    <xf numFmtId="193" fontId="53" fillId="0" borderId="0" xfId="1" applyNumberFormat="1" applyFont="1" applyFill="1" applyAlignment="1">
      <alignment horizontal="right" vertical="top"/>
    </xf>
    <xf numFmtId="193" fontId="53" fillId="0" borderId="0" xfId="1" applyNumberFormat="1" applyFont="1" applyFill="1" applyAlignment="1">
      <alignment vertical="top"/>
    </xf>
    <xf numFmtId="0" fontId="66" fillId="0" borderId="0" xfId="1" applyNumberFormat="1" applyFont="1" applyFill="1" applyBorder="1" applyAlignment="1">
      <alignment horizontal="centerContinuous" vertical="top" wrapText="1"/>
    </xf>
    <xf numFmtId="0" fontId="66" fillId="0" borderId="0" xfId="1" applyNumberFormat="1" applyFont="1" applyFill="1" applyBorder="1" applyAlignment="1">
      <alignment vertical="top" wrapText="1"/>
    </xf>
    <xf numFmtId="0" fontId="67" fillId="0" borderId="0" xfId="0" applyFont="1" applyFill="1" applyBorder="1"/>
    <xf numFmtId="0" fontId="67" fillId="0" borderId="0" xfId="0" applyFont="1" applyFill="1"/>
    <xf numFmtId="0" fontId="4" fillId="0" borderId="14" xfId="1" applyNumberFormat="1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/>
    </xf>
    <xf numFmtId="0" fontId="4" fillId="18" borderId="3" xfId="0" applyFont="1" applyFill="1" applyBorder="1" applyAlignment="1">
      <alignment horizontal="center" vertical="top" wrapText="1"/>
    </xf>
    <xf numFmtId="0" fontId="4" fillId="18" borderId="3" xfId="0" applyFont="1" applyFill="1" applyBorder="1" applyAlignment="1">
      <alignment horizontal="center" vertical="top"/>
    </xf>
    <xf numFmtId="0" fontId="4" fillId="0" borderId="31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/>
    </xf>
    <xf numFmtId="43" fontId="5" fillId="0" borderId="38" xfId="1" applyFont="1" applyFill="1" applyBorder="1" applyAlignment="1">
      <alignment horizontal="right" vertical="top" wrapText="1"/>
    </xf>
    <xf numFmtId="43" fontId="5" fillId="0" borderId="38" xfId="1" applyFont="1" applyFill="1" applyBorder="1" applyAlignment="1">
      <alignment horizontal="center" vertical="top" wrapText="1"/>
    </xf>
    <xf numFmtId="43" fontId="5" fillId="0" borderId="35" xfId="1" applyFont="1" applyFill="1" applyBorder="1" applyAlignment="1">
      <alignment horizontal="right" vertical="top" wrapText="1"/>
    </xf>
    <xf numFmtId="43" fontId="5" fillId="0" borderId="31" xfId="1" applyFont="1" applyFill="1" applyBorder="1" applyAlignment="1">
      <alignment horizontal="right" vertical="top" wrapText="1"/>
    </xf>
    <xf numFmtId="0" fontId="5" fillId="0" borderId="35" xfId="0" applyFont="1" applyFill="1" applyBorder="1" applyAlignment="1">
      <alignment horizontal="center" vertical="top"/>
    </xf>
    <xf numFmtId="43" fontId="5" fillId="0" borderId="35" xfId="1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vertical="top" wrapText="1"/>
    </xf>
    <xf numFmtId="43" fontId="4" fillId="0" borderId="38" xfId="1" applyFont="1" applyFill="1" applyBorder="1" applyAlignment="1">
      <alignment horizontal="right" vertical="top" wrapText="1"/>
    </xf>
    <xf numFmtId="0" fontId="5" fillId="18" borderId="9" xfId="0" applyFont="1" applyFill="1" applyBorder="1" applyAlignment="1">
      <alignment horizontal="center"/>
    </xf>
    <xf numFmtId="0" fontId="4" fillId="18" borderId="9" xfId="0" applyFont="1" applyFill="1" applyBorder="1" applyAlignment="1">
      <alignment horizontal="center" vertical="center" wrapText="1"/>
    </xf>
    <xf numFmtId="43" fontId="4" fillId="18" borderId="9" xfId="0" applyNumberFormat="1" applyFont="1" applyFill="1" applyBorder="1" applyAlignment="1">
      <alignment horizontal="center" vertical="center" wrapText="1"/>
    </xf>
    <xf numFmtId="43" fontId="4" fillId="0" borderId="3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93" fontId="4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43" fontId="5" fillId="0" borderId="0" xfId="0" applyNumberFormat="1" applyFont="1" applyFill="1"/>
    <xf numFmtId="43" fontId="5" fillId="0" borderId="0" xfId="1" applyFont="1" applyFill="1"/>
    <xf numFmtId="0" fontId="68" fillId="0" borderId="0" xfId="0" applyFont="1" applyFill="1" applyBorder="1" applyAlignment="1">
      <alignment horizontal="left" vertical="top"/>
    </xf>
    <xf numFmtId="0" fontId="68" fillId="0" borderId="3" xfId="0" applyFont="1" applyFill="1" applyBorder="1" applyAlignment="1">
      <alignment horizontal="center" vertical="top" wrapText="1"/>
    </xf>
    <xf numFmtId="0" fontId="68" fillId="0" borderId="3" xfId="0" applyFont="1" applyBorder="1" applyAlignment="1">
      <alignment horizontal="center" vertical="top" wrapText="1"/>
    </xf>
    <xf numFmtId="196" fontId="68" fillId="0" borderId="3" xfId="0" applyNumberFormat="1" applyFont="1" applyBorder="1" applyAlignment="1">
      <alignment horizontal="center" vertical="top" wrapText="1"/>
    </xf>
    <xf numFmtId="43" fontId="68" fillId="0" borderId="3" xfId="1" applyFont="1" applyBorder="1" applyAlignment="1">
      <alignment horizontal="center" vertical="top" wrapText="1"/>
    </xf>
    <xf numFmtId="49" fontId="70" fillId="0" borderId="3" xfId="0" applyNumberFormat="1" applyFont="1" applyBorder="1" applyAlignment="1">
      <alignment horizontal="center" vertical="top" wrapText="1"/>
    </xf>
    <xf numFmtId="0" fontId="68" fillId="0" borderId="0" xfId="0" applyFont="1" applyFill="1" applyBorder="1" applyAlignment="1">
      <alignment horizontal="center" vertical="top" wrapText="1"/>
    </xf>
    <xf numFmtId="0" fontId="70" fillId="19" borderId="3" xfId="0" applyFont="1" applyFill="1" applyBorder="1" applyAlignment="1">
      <alignment horizontal="center" vertical="top" wrapText="1"/>
    </xf>
    <xf numFmtId="0" fontId="68" fillId="19" borderId="3" xfId="0" applyFont="1" applyFill="1" applyBorder="1" applyAlignment="1">
      <alignment horizontal="left" vertical="top" wrapText="1"/>
    </xf>
    <xf numFmtId="196" fontId="68" fillId="19" borderId="3" xfId="0" applyNumberFormat="1" applyFont="1" applyFill="1" applyBorder="1" applyAlignment="1">
      <alignment horizontal="center" vertical="top" wrapText="1"/>
    </xf>
    <xf numFmtId="197" fontId="70" fillId="19" borderId="3" xfId="0" applyNumberFormat="1" applyFont="1" applyFill="1" applyBorder="1" applyAlignment="1">
      <alignment horizontal="center" vertical="top" wrapText="1"/>
    </xf>
    <xf numFmtId="43" fontId="70" fillId="19" borderId="3" xfId="1" applyFont="1" applyFill="1" applyBorder="1" applyAlignment="1">
      <alignment vertical="top" wrapText="1"/>
    </xf>
    <xf numFmtId="43" fontId="68" fillId="19" borderId="3" xfId="1" applyFont="1" applyFill="1" applyBorder="1" applyAlignment="1">
      <alignment horizontal="left" vertical="top" wrapText="1"/>
    </xf>
    <xf numFmtId="43" fontId="68" fillId="19" borderId="3" xfId="1" applyFont="1" applyFill="1" applyBorder="1" applyAlignment="1">
      <alignment horizontal="center" vertical="top" wrapText="1"/>
    </xf>
    <xf numFmtId="0" fontId="68" fillId="19" borderId="3" xfId="0" applyFont="1" applyFill="1" applyBorder="1" applyAlignment="1">
      <alignment horizontal="center" vertical="top" wrapText="1"/>
    </xf>
    <xf numFmtId="49" fontId="70" fillId="19" borderId="3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vertical="top" wrapText="1"/>
    </xf>
    <xf numFmtId="0" fontId="70" fillId="0" borderId="0" xfId="0" applyFont="1" applyFill="1" applyBorder="1" applyAlignment="1">
      <alignment vertical="top" wrapText="1"/>
    </xf>
    <xf numFmtId="0" fontId="70" fillId="0" borderId="15" xfId="0" applyFont="1" applyFill="1" applyBorder="1" applyAlignment="1">
      <alignment horizontal="center" vertical="top"/>
    </xf>
    <xf numFmtId="0" fontId="70" fillId="0" borderId="3" xfId="0" applyFont="1" applyFill="1" applyBorder="1" applyAlignment="1">
      <alignment horizontal="left" vertical="top" wrapText="1"/>
    </xf>
    <xf numFmtId="0" fontId="71" fillId="0" borderId="3" xfId="0" applyFont="1" applyFill="1" applyBorder="1" applyAlignment="1">
      <alignment horizontal="center" vertical="top" wrapText="1"/>
    </xf>
    <xf numFmtId="197" fontId="71" fillId="0" borderId="3" xfId="0" applyNumberFormat="1" applyFont="1" applyFill="1" applyBorder="1" applyAlignment="1">
      <alignment horizontal="center" vertical="top" wrapText="1"/>
    </xf>
    <xf numFmtId="43" fontId="71" fillId="0" borderId="3" xfId="1" applyFont="1" applyFill="1" applyBorder="1" applyAlignment="1">
      <alignment horizontal="center" vertical="top"/>
    </xf>
    <xf numFmtId="43" fontId="71" fillId="0" borderId="3" xfId="1" applyFont="1" applyFill="1" applyBorder="1" applyAlignment="1">
      <alignment vertical="top" wrapText="1"/>
    </xf>
    <xf numFmtId="43" fontId="70" fillId="0" borderId="3" xfId="1" applyFont="1" applyFill="1" applyBorder="1" applyAlignment="1">
      <alignment horizontal="center" vertical="top"/>
    </xf>
    <xf numFmtId="197" fontId="70" fillId="0" borderId="3" xfId="0" applyNumberFormat="1" applyFont="1" applyFill="1" applyBorder="1" applyAlignment="1">
      <alignment horizontal="center" vertical="top" wrapText="1"/>
    </xf>
    <xf numFmtId="196" fontId="70" fillId="0" borderId="3" xfId="0" applyNumberFormat="1" applyFont="1" applyFill="1" applyBorder="1" applyAlignment="1">
      <alignment horizontal="center" vertical="top" wrapText="1"/>
    </xf>
    <xf numFmtId="196" fontId="71" fillId="0" borderId="3" xfId="0" applyNumberFormat="1" applyFont="1" applyFill="1" applyBorder="1" applyAlignment="1">
      <alignment vertical="top" wrapText="1"/>
    </xf>
    <xf numFmtId="0" fontId="70" fillId="0" borderId="0" xfId="0" applyFont="1" applyFill="1" applyBorder="1" applyAlignment="1">
      <alignment vertical="top"/>
    </xf>
    <xf numFmtId="0" fontId="69" fillId="0" borderId="3" xfId="0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horizontal="center" vertical="top" wrapText="1"/>
    </xf>
    <xf numFmtId="197" fontId="70" fillId="0" borderId="3" xfId="0" applyNumberFormat="1" applyFont="1" applyFill="1" applyBorder="1" applyAlignment="1">
      <alignment horizontal="center" vertical="top"/>
    </xf>
    <xf numFmtId="43" fontId="68" fillId="0" borderId="3" xfId="1" applyFont="1" applyFill="1" applyBorder="1" applyAlignment="1">
      <alignment horizontal="center" vertical="top"/>
    </xf>
    <xf numFmtId="43" fontId="69" fillId="0" borderId="3" xfId="1" applyFont="1" applyFill="1" applyBorder="1" applyAlignment="1">
      <alignment vertical="top" wrapText="1"/>
    </xf>
    <xf numFmtId="49" fontId="72" fillId="0" borderId="3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vertical="top"/>
    </xf>
    <xf numFmtId="0" fontId="71" fillId="0" borderId="2" xfId="0" applyFont="1" applyFill="1" applyBorder="1" applyAlignment="1">
      <alignment horizontal="center" vertical="top"/>
    </xf>
    <xf numFmtId="0" fontId="71" fillId="0" borderId="3" xfId="0" applyFont="1" applyFill="1" applyBorder="1" applyAlignment="1">
      <alignment horizontal="left" vertical="top" wrapText="1"/>
    </xf>
    <xf numFmtId="0" fontId="71" fillId="0" borderId="2" xfId="0" applyFont="1" applyFill="1" applyBorder="1" applyAlignment="1">
      <alignment horizontal="center" vertical="top" wrapText="1"/>
    </xf>
    <xf numFmtId="197" fontId="71" fillId="0" borderId="2" xfId="0" applyNumberFormat="1" applyFont="1" applyFill="1" applyBorder="1" applyAlignment="1">
      <alignment horizontal="center" vertical="top" wrapText="1"/>
    </xf>
    <xf numFmtId="43" fontId="71" fillId="0" borderId="2" xfId="1" applyFont="1" applyFill="1" applyBorder="1" applyAlignment="1">
      <alignment horizontal="center" vertical="top"/>
    </xf>
    <xf numFmtId="43" fontId="71" fillId="0" borderId="2" xfId="1" applyFont="1" applyFill="1" applyBorder="1" applyAlignment="1">
      <alignment vertical="top" wrapText="1"/>
    </xf>
    <xf numFmtId="43" fontId="71" fillId="0" borderId="2" xfId="1" applyFont="1" applyFill="1" applyBorder="1" applyAlignment="1">
      <alignment horizontal="center" vertical="top" wrapText="1"/>
    </xf>
    <xf numFmtId="196" fontId="71" fillId="0" borderId="3" xfId="0" applyNumberFormat="1" applyFont="1" applyFill="1" applyBorder="1" applyAlignment="1">
      <alignment horizontal="center" vertical="top" wrapText="1"/>
    </xf>
    <xf numFmtId="43" fontId="69" fillId="0" borderId="2" xfId="1" applyFont="1" applyFill="1" applyBorder="1" applyAlignment="1">
      <alignment horizontal="center" vertical="top"/>
    </xf>
    <xf numFmtId="43" fontId="69" fillId="0" borderId="2" xfId="1" applyFont="1" applyFill="1" applyBorder="1" applyAlignment="1">
      <alignment vertical="top" wrapText="1"/>
    </xf>
    <xf numFmtId="49" fontId="72" fillId="0" borderId="3" xfId="0" applyNumberFormat="1" applyFont="1" applyFill="1" applyBorder="1" applyAlignment="1">
      <alignment horizontal="left" vertical="top" wrapText="1"/>
    </xf>
    <xf numFmtId="0" fontId="70" fillId="0" borderId="3" xfId="0" applyFont="1" applyFill="1" applyBorder="1" applyAlignment="1">
      <alignment horizontal="center" vertical="top"/>
    </xf>
    <xf numFmtId="43" fontId="71" fillId="0" borderId="3" xfId="1" applyFont="1" applyFill="1" applyBorder="1" applyAlignment="1">
      <alignment horizontal="center" vertical="top" wrapText="1"/>
    </xf>
    <xf numFmtId="43" fontId="68" fillId="0" borderId="3" xfId="1" applyFont="1" applyFill="1" applyBorder="1" applyAlignment="1">
      <alignment vertical="top" wrapText="1"/>
    </xf>
    <xf numFmtId="43" fontId="70" fillId="0" borderId="3" xfId="1" applyFont="1" applyFill="1" applyBorder="1" applyAlignment="1">
      <alignment vertical="top" wrapText="1"/>
    </xf>
    <xf numFmtId="0" fontId="71" fillId="0" borderId="3" xfId="0" applyFont="1" applyFill="1" applyBorder="1" applyAlignment="1">
      <alignment vertical="top" wrapText="1"/>
    </xf>
    <xf numFmtId="196" fontId="71" fillId="0" borderId="3" xfId="0" applyNumberFormat="1" applyFont="1" applyFill="1" applyBorder="1" applyAlignment="1">
      <alignment horizontal="left" vertical="top" wrapText="1"/>
    </xf>
    <xf numFmtId="0" fontId="72" fillId="0" borderId="3" xfId="0" applyFont="1" applyFill="1" applyBorder="1" applyAlignment="1">
      <alignment vertical="top"/>
    </xf>
    <xf numFmtId="0" fontId="70" fillId="13" borderId="3" xfId="0" applyFont="1" applyFill="1" applyBorder="1" applyAlignment="1">
      <alignment horizontal="center" vertical="top" wrapText="1"/>
    </xf>
    <xf numFmtId="197" fontId="70" fillId="13" borderId="3" xfId="0" applyNumberFormat="1" applyFont="1" applyFill="1" applyBorder="1" applyAlignment="1">
      <alignment horizontal="center" vertical="top"/>
    </xf>
    <xf numFmtId="43" fontId="68" fillId="13" borderId="3" xfId="1" applyFont="1" applyFill="1" applyBorder="1" applyAlignment="1">
      <alignment horizontal="right" vertical="top" wrapText="1"/>
    </xf>
    <xf numFmtId="43" fontId="70" fillId="13" borderId="3" xfId="1" applyFont="1" applyFill="1" applyBorder="1" applyAlignment="1">
      <alignment vertical="top" wrapText="1"/>
    </xf>
    <xf numFmtId="43" fontId="68" fillId="13" borderId="3" xfId="1" applyFont="1" applyFill="1" applyBorder="1" applyAlignment="1">
      <alignment horizontal="center" vertical="top"/>
    </xf>
    <xf numFmtId="49" fontId="70" fillId="13" borderId="3" xfId="0" applyNumberFormat="1" applyFont="1" applyFill="1" applyBorder="1" applyAlignment="1">
      <alignment horizontal="center" vertical="top" wrapText="1"/>
    </xf>
    <xf numFmtId="0" fontId="71" fillId="0" borderId="3" xfId="0" applyFont="1" applyFill="1" applyBorder="1" applyAlignment="1">
      <alignment horizontal="center" vertical="top"/>
    </xf>
    <xf numFmtId="49" fontId="71" fillId="0" borderId="3" xfId="0" applyNumberFormat="1" applyFont="1" applyFill="1" applyBorder="1" applyAlignment="1">
      <alignment horizontal="left" vertical="top" wrapText="1"/>
    </xf>
    <xf numFmtId="49" fontId="71" fillId="0" borderId="3" xfId="0" applyNumberFormat="1" applyFont="1" applyFill="1" applyBorder="1" applyAlignment="1">
      <alignment vertical="top" wrapText="1"/>
    </xf>
    <xf numFmtId="43" fontId="70" fillId="0" borderId="13" xfId="1" applyFont="1" applyBorder="1" applyAlignment="1">
      <alignment horizontal="center" vertical="top"/>
    </xf>
    <xf numFmtId="43" fontId="70" fillId="0" borderId="2" xfId="1" applyFont="1" applyFill="1" applyBorder="1" applyAlignment="1">
      <alignment horizontal="center" vertical="top"/>
    </xf>
    <xf numFmtId="43" fontId="70" fillId="0" borderId="1" xfId="1" applyFont="1" applyBorder="1" applyAlignment="1">
      <alignment horizontal="center" vertical="top"/>
    </xf>
    <xf numFmtId="43" fontId="70" fillId="0" borderId="3" xfId="1" applyFont="1" applyFill="1" applyBorder="1" applyAlignment="1">
      <alignment horizontal="center" vertical="top" wrapText="1"/>
    </xf>
    <xf numFmtId="43" fontId="70" fillId="0" borderId="3" xfId="1" applyFont="1" applyFill="1" applyBorder="1" applyAlignment="1">
      <alignment horizontal="left" vertical="top" wrapText="1"/>
    </xf>
    <xf numFmtId="49" fontId="70" fillId="0" borderId="3" xfId="0" applyNumberFormat="1" applyFont="1" applyFill="1" applyBorder="1" applyAlignment="1">
      <alignment horizontal="center" vertical="top" wrapText="1"/>
    </xf>
    <xf numFmtId="49" fontId="70" fillId="0" borderId="3" xfId="0" applyNumberFormat="1" applyFont="1" applyFill="1" applyBorder="1" applyAlignment="1">
      <alignment horizontal="left" vertical="top" wrapText="1"/>
    </xf>
    <xf numFmtId="43" fontId="70" fillId="0" borderId="3" xfId="1" applyFont="1" applyBorder="1" applyAlignment="1">
      <alignment horizontal="center" vertical="top"/>
    </xf>
    <xf numFmtId="49" fontId="70" fillId="0" borderId="3" xfId="0" applyNumberFormat="1" applyFont="1" applyFill="1" applyBorder="1" applyAlignment="1">
      <alignment vertical="top" wrapText="1"/>
    </xf>
    <xf numFmtId="196" fontId="70" fillId="0" borderId="3" xfId="0" applyNumberFormat="1" applyFont="1" applyBorder="1" applyAlignment="1">
      <alignment horizontal="center" vertical="top" wrapText="1"/>
    </xf>
    <xf numFmtId="197" fontId="70" fillId="0" borderId="3" xfId="0" applyNumberFormat="1" applyFont="1" applyBorder="1" applyAlignment="1">
      <alignment horizontal="center" vertical="top" wrapText="1"/>
    </xf>
    <xf numFmtId="43" fontId="70" fillId="0" borderId="3" xfId="1" applyFont="1" applyBorder="1" applyAlignment="1">
      <alignment horizontal="center" vertical="top" wrapText="1"/>
    </xf>
    <xf numFmtId="43" fontId="68" fillId="0" borderId="3" xfId="1" applyFont="1" applyBorder="1" applyAlignment="1">
      <alignment horizontal="left" vertical="top" wrapText="1"/>
    </xf>
    <xf numFmtId="0" fontId="70" fillId="0" borderId="3" xfId="0" applyFont="1" applyBorder="1" applyAlignment="1">
      <alignment horizontal="center" vertical="top" wrapText="1"/>
    </xf>
    <xf numFmtId="0" fontId="70" fillId="0" borderId="0" xfId="0" applyFont="1" applyBorder="1" applyAlignment="1">
      <alignment horizontal="center" vertical="top" wrapText="1"/>
    </xf>
    <xf numFmtId="43" fontId="68" fillId="0" borderId="3" xfId="1" applyFont="1" applyFill="1" applyBorder="1" applyAlignment="1">
      <alignment horizontal="center" vertical="top" wrapText="1"/>
    </xf>
    <xf numFmtId="43" fontId="70" fillId="13" borderId="3" xfId="1" applyFont="1" applyFill="1" applyBorder="1" applyAlignment="1">
      <alignment horizontal="center" vertical="top"/>
    </xf>
    <xf numFmtId="197" fontId="68" fillId="20" borderId="3" xfId="0" applyNumberFormat="1" applyFont="1" applyFill="1" applyBorder="1" applyAlignment="1">
      <alignment horizontal="center" vertical="top" wrapText="1"/>
    </xf>
    <xf numFmtId="43" fontId="68" fillId="20" borderId="3" xfId="0" applyNumberFormat="1" applyFont="1" applyFill="1" applyBorder="1" applyAlignment="1">
      <alignment vertical="top" wrapText="1"/>
    </xf>
    <xf numFmtId="43" fontId="68" fillId="20" borderId="3" xfId="1" applyFont="1" applyFill="1" applyBorder="1" applyAlignment="1">
      <alignment vertical="top" wrapText="1"/>
    </xf>
    <xf numFmtId="43" fontId="68" fillId="20" borderId="3" xfId="1" applyFont="1" applyFill="1" applyBorder="1" applyAlignment="1">
      <alignment horizontal="right" vertical="top" wrapText="1"/>
    </xf>
    <xf numFmtId="49" fontId="70" fillId="20" borderId="3" xfId="0" applyNumberFormat="1" applyFont="1" applyFill="1" applyBorder="1" applyAlignment="1">
      <alignment horizontal="center" vertical="top" wrapText="1"/>
    </xf>
    <xf numFmtId="0" fontId="68" fillId="0" borderId="3" xfId="0" applyFont="1" applyFill="1" applyBorder="1" applyAlignment="1">
      <alignment vertical="top" wrapText="1"/>
    </xf>
    <xf numFmtId="0" fontId="68" fillId="0" borderId="0" xfId="0" applyFont="1" applyFill="1" applyBorder="1" applyAlignment="1">
      <alignment vertical="top" wrapText="1"/>
    </xf>
    <xf numFmtId="0" fontId="70" fillId="0" borderId="0" xfId="0" applyFont="1" applyFill="1" applyBorder="1" applyAlignment="1">
      <alignment horizontal="center" vertical="top" wrapText="1"/>
    </xf>
    <xf numFmtId="0" fontId="70" fillId="0" borderId="0" xfId="0" applyFont="1" applyBorder="1" applyAlignment="1">
      <alignment vertical="top" wrapText="1"/>
    </xf>
    <xf numFmtId="43" fontId="70" fillId="0" borderId="0" xfId="1" applyFont="1" applyBorder="1" applyAlignment="1">
      <alignment vertical="top" wrapText="1"/>
    </xf>
    <xf numFmtId="49" fontId="70" fillId="0" borderId="0" xfId="0" applyNumberFormat="1" applyFont="1" applyBorder="1" applyAlignment="1">
      <alignment vertical="top" wrapText="1"/>
    </xf>
    <xf numFmtId="4" fontId="70" fillId="0" borderId="0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6" borderId="3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top"/>
    </xf>
    <xf numFmtId="0" fontId="4" fillId="8" borderId="3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43" fontId="4" fillId="0" borderId="2" xfId="0" applyNumberFormat="1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43" fontId="4" fillId="0" borderId="4" xfId="1" applyFont="1" applyBorder="1" applyAlignment="1">
      <alignment horizontal="center" vertical="top" wrapText="1"/>
    </xf>
    <xf numFmtId="43" fontId="4" fillId="0" borderId="19" xfId="1" applyFont="1" applyBorder="1" applyAlignment="1">
      <alignment horizontal="center" vertical="top" wrapText="1"/>
    </xf>
    <xf numFmtId="43" fontId="4" fillId="0" borderId="16" xfId="0" applyNumberFormat="1" applyFont="1" applyFill="1" applyBorder="1" applyAlignment="1">
      <alignment horizontal="center" vertical="top" wrapText="1"/>
    </xf>
    <xf numFmtId="43" fontId="4" fillId="0" borderId="17" xfId="0" applyNumberFormat="1" applyFont="1" applyFill="1" applyBorder="1" applyAlignment="1">
      <alignment horizontal="center" vertical="top" wrapText="1"/>
    </xf>
    <xf numFmtId="43" fontId="4" fillId="0" borderId="18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15" borderId="16" xfId="0" applyFont="1" applyFill="1" applyBorder="1" applyAlignment="1">
      <alignment horizontal="center" vertical="top"/>
    </xf>
    <xf numFmtId="0" fontId="2" fillId="15" borderId="17" xfId="0" applyFont="1" applyFill="1" applyBorder="1" applyAlignment="1">
      <alignment horizontal="center" vertical="top"/>
    </xf>
    <xf numFmtId="0" fontId="2" fillId="15" borderId="18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/>
    </xf>
    <xf numFmtId="187" fontId="4" fillId="6" borderId="10" xfId="1" applyNumberFormat="1" applyFont="1" applyFill="1" applyBorder="1" applyAlignment="1">
      <alignment horizontal="center" vertical="top" wrapText="1"/>
    </xf>
    <xf numFmtId="187" fontId="4" fillId="6" borderId="11" xfId="1" applyNumberFormat="1" applyFont="1" applyFill="1" applyBorder="1" applyAlignment="1">
      <alignment horizontal="center" vertical="top" wrapText="1"/>
    </xf>
    <xf numFmtId="188" fontId="4" fillId="0" borderId="3" xfId="1" applyNumberFormat="1" applyFont="1" applyFill="1" applyBorder="1" applyAlignment="1">
      <alignment horizontal="center" vertical="top" wrapText="1"/>
    </xf>
    <xf numFmtId="187" fontId="4" fillId="0" borderId="3" xfId="1" applyNumberFormat="1" applyFont="1" applyFill="1" applyBorder="1" applyAlignment="1">
      <alignment horizontal="center" vertical="top" wrapText="1"/>
    </xf>
    <xf numFmtId="43" fontId="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2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wrapText="1"/>
    </xf>
    <xf numFmtId="0" fontId="4" fillId="6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2" applyFont="1" applyAlignment="1">
      <alignment horizontal="center" wrapText="1"/>
    </xf>
    <xf numFmtId="0" fontId="4" fillId="5" borderId="15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0" fontId="4" fillId="13" borderId="10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horizontal="center" wrapText="1"/>
    </xf>
    <xf numFmtId="43" fontId="4" fillId="0" borderId="2" xfId="0" applyNumberFormat="1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/>
    </xf>
    <xf numFmtId="188" fontId="4" fillId="0" borderId="3" xfId="1" applyNumberFormat="1" applyFont="1" applyFill="1" applyBorder="1" applyAlignment="1">
      <alignment horizontal="center" wrapText="1"/>
    </xf>
    <xf numFmtId="187" fontId="4" fillId="0" borderId="3" xfId="1" applyNumberFormat="1" applyFont="1" applyFill="1" applyBorder="1" applyAlignment="1">
      <alignment horizontal="center" wrapText="1"/>
    </xf>
    <xf numFmtId="43" fontId="4" fillId="0" borderId="3" xfId="0" applyNumberFormat="1" applyFont="1" applyFill="1" applyBorder="1" applyAlignment="1">
      <alignment horizontal="center" wrapText="1"/>
    </xf>
    <xf numFmtId="187" fontId="4" fillId="6" borderId="10" xfId="1" applyNumberFormat="1" applyFont="1" applyFill="1" applyBorder="1" applyAlignment="1">
      <alignment horizontal="center" wrapText="1"/>
    </xf>
    <xf numFmtId="187" fontId="4" fillId="6" borderId="11" xfId="1" applyNumberFormat="1" applyFont="1" applyFill="1" applyBorder="1" applyAlignment="1">
      <alignment horizontal="center" wrapText="1"/>
    </xf>
    <xf numFmtId="188" fontId="4" fillId="0" borderId="3" xfId="1" applyNumberFormat="1" applyFont="1" applyFill="1" applyBorder="1" applyAlignment="1">
      <alignment horizontal="center" vertical="center" wrapText="1"/>
    </xf>
    <xf numFmtId="187" fontId="4" fillId="0" borderId="3" xfId="1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left"/>
    </xf>
    <xf numFmtId="0" fontId="4" fillId="5" borderId="15" xfId="2" applyFont="1" applyFill="1" applyBorder="1" applyAlignment="1">
      <alignment horizontal="left" vertical="top" wrapText="1"/>
    </xf>
    <xf numFmtId="0" fontId="4" fillId="5" borderId="7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center" vertical="top" wrapText="1"/>
    </xf>
    <xf numFmtId="0" fontId="4" fillId="13" borderId="10" xfId="0" applyFont="1" applyFill="1" applyBorder="1" applyAlignment="1">
      <alignment horizontal="center" vertical="top"/>
    </xf>
    <xf numFmtId="0" fontId="4" fillId="13" borderId="11" xfId="0" applyFont="1" applyFill="1" applyBorder="1" applyAlignment="1">
      <alignment horizontal="center" vertical="top"/>
    </xf>
    <xf numFmtId="0" fontId="4" fillId="0" borderId="0" xfId="2" applyFont="1" applyBorder="1" applyAlignment="1">
      <alignment horizontal="center" vertical="top" wrapText="1"/>
    </xf>
    <xf numFmtId="0" fontId="4" fillId="2" borderId="15" xfId="2" applyFont="1" applyFill="1" applyBorder="1" applyAlignment="1">
      <alignment horizontal="center" vertical="top"/>
    </xf>
    <xf numFmtId="0" fontId="4" fillId="2" borderId="7" xfId="2" applyFont="1" applyFill="1" applyBorder="1" applyAlignment="1">
      <alignment horizontal="center" vertical="top"/>
    </xf>
    <xf numFmtId="43" fontId="4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4" fillId="0" borderId="0" xfId="1" applyFont="1" applyAlignment="1">
      <alignment horizontal="center" vertical="top" wrapText="1"/>
    </xf>
    <xf numFmtId="43" fontId="4" fillId="0" borderId="0" xfId="1" applyFont="1" applyBorder="1" applyAlignment="1">
      <alignment horizontal="center" vertical="top" wrapText="1"/>
    </xf>
    <xf numFmtId="43" fontId="4" fillId="0" borderId="0" xfId="1" applyFont="1" applyBorder="1" applyAlignment="1">
      <alignment horizontal="center" vertical="top"/>
    </xf>
    <xf numFmtId="0" fontId="10" fillId="0" borderId="1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43" fontId="29" fillId="0" borderId="15" xfId="1" applyFont="1" applyFill="1" applyBorder="1" applyAlignment="1">
      <alignment horizontal="center" vertical="center"/>
    </xf>
    <xf numFmtId="43" fontId="29" fillId="0" borderId="7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30" fillId="0" borderId="15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189" fontId="4" fillId="0" borderId="1" xfId="1" applyNumberFormat="1" applyFont="1" applyBorder="1" applyAlignment="1">
      <alignment horizontal="center" vertical="top" wrapText="1"/>
    </xf>
    <xf numFmtId="189" fontId="4" fillId="0" borderId="13" xfId="1" applyNumberFormat="1" applyFont="1" applyBorder="1" applyAlignment="1">
      <alignment horizontal="center" vertical="top" wrapText="1"/>
    </xf>
    <xf numFmtId="189" fontId="4" fillId="0" borderId="2" xfId="1" applyNumberFormat="1" applyFont="1" applyBorder="1" applyAlignment="1">
      <alignment horizontal="center" vertical="top" wrapText="1"/>
    </xf>
    <xf numFmtId="0" fontId="36" fillId="0" borderId="1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43" fontId="36" fillId="0" borderId="15" xfId="1" applyFont="1" applyBorder="1" applyAlignment="1">
      <alignment horizontal="center"/>
    </xf>
    <xf numFmtId="43" fontId="36" fillId="0" borderId="6" xfId="1" applyFont="1" applyBorder="1" applyAlignment="1">
      <alignment horizontal="center"/>
    </xf>
    <xf numFmtId="43" fontId="36" fillId="0" borderId="1" xfId="1" applyFont="1" applyBorder="1" applyAlignment="1">
      <alignment horizontal="center" vertical="center" wrapText="1"/>
    </xf>
    <xf numFmtId="43" fontId="36" fillId="0" borderId="2" xfId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2" xfId="0" applyFont="1" applyBorder="1" applyAlignment="1">
      <alignment horizontal="center" vertical="center" wrapText="1" shrinkToFit="1"/>
    </xf>
    <xf numFmtId="4" fontId="53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7" fillId="0" borderId="15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left"/>
    </xf>
    <xf numFmtId="0" fontId="15" fillId="0" borderId="31" xfId="0" applyFont="1" applyFill="1" applyBorder="1" applyAlignment="1">
      <alignment horizontal="left" vertical="top" wrapText="1"/>
    </xf>
    <xf numFmtId="0" fontId="15" fillId="0" borderId="32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/>
    </xf>
    <xf numFmtId="0" fontId="37" fillId="2" borderId="15" xfId="0" applyFont="1" applyFill="1" applyBorder="1" applyAlignment="1">
      <alignment horizontal="center" vertical="top" wrapText="1"/>
    </xf>
    <xf numFmtId="0" fontId="37" fillId="2" borderId="7" xfId="0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61" fillId="0" borderId="19" xfId="0" applyFont="1" applyFill="1" applyBorder="1" applyAlignment="1">
      <alignment horizontal="left" vertical="top" wrapText="1"/>
    </xf>
    <xf numFmtId="0" fontId="61" fillId="0" borderId="22" xfId="0" applyFont="1" applyFill="1" applyBorder="1" applyAlignment="1">
      <alignment horizontal="left" vertical="top" wrapText="1"/>
    </xf>
    <xf numFmtId="0" fontId="61" fillId="0" borderId="31" xfId="0" applyFont="1" applyFill="1" applyBorder="1" applyAlignment="1">
      <alignment horizontal="left" vertical="top" wrapText="1"/>
    </xf>
    <xf numFmtId="0" fontId="61" fillId="0" borderId="32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37" fillId="0" borderId="15" xfId="0" applyFont="1" applyFill="1" applyBorder="1" applyAlignment="1">
      <alignment horizontal="left" vertical="top" wrapText="1"/>
    </xf>
    <xf numFmtId="0" fontId="37" fillId="0" borderId="7" xfId="0" applyFont="1" applyFill="1" applyBorder="1" applyAlignment="1">
      <alignment horizontal="left" vertical="top" wrapText="1"/>
    </xf>
    <xf numFmtId="49" fontId="15" fillId="0" borderId="31" xfId="0" applyNumberFormat="1" applyFont="1" applyFill="1" applyBorder="1" applyAlignment="1">
      <alignment horizontal="left" vertical="top" wrapText="1"/>
    </xf>
    <xf numFmtId="49" fontId="15" fillId="0" borderId="32" xfId="0" applyNumberFormat="1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55" xfId="0" applyFont="1" applyFill="1" applyBorder="1" applyAlignment="1">
      <alignment horizontal="left" vertical="top" wrapText="1"/>
    </xf>
    <xf numFmtId="0" fontId="8" fillId="0" borderId="56" xfId="0" applyFont="1" applyFill="1" applyBorder="1" applyAlignment="1">
      <alignment horizontal="left" vertical="top" wrapText="1"/>
    </xf>
    <xf numFmtId="0" fontId="63" fillId="0" borderId="33" xfId="0" applyFont="1" applyFill="1" applyBorder="1" applyAlignment="1">
      <alignment horizontal="left" vertical="top" wrapText="1"/>
    </xf>
    <xf numFmtId="0" fontId="63" fillId="0" borderId="34" xfId="0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left" vertical="top" wrapText="1"/>
    </xf>
    <xf numFmtId="0" fontId="63" fillId="0" borderId="19" xfId="0" applyFont="1" applyFill="1" applyBorder="1" applyAlignment="1">
      <alignment horizontal="left" vertical="top" wrapText="1"/>
    </xf>
    <xf numFmtId="0" fontId="63" fillId="0" borderId="22" xfId="0" applyFont="1" applyFill="1" applyBorder="1" applyAlignment="1">
      <alignment horizontal="left" vertical="top" wrapText="1"/>
    </xf>
    <xf numFmtId="43" fontId="5" fillId="0" borderId="0" xfId="1" applyFont="1" applyFill="1" applyAlignment="1">
      <alignment vertical="center"/>
    </xf>
    <xf numFmtId="0" fontId="68" fillId="13" borderId="3" xfId="0" applyFont="1" applyFill="1" applyBorder="1" applyAlignment="1">
      <alignment horizontal="center" vertical="top" wrapText="1"/>
    </xf>
    <xf numFmtId="0" fontId="68" fillId="13" borderId="15" xfId="0" applyFont="1" applyFill="1" applyBorder="1" applyAlignment="1">
      <alignment horizontal="center" vertical="top" wrapText="1"/>
    </xf>
    <xf numFmtId="0" fontId="68" fillId="13" borderId="7" xfId="0" applyFont="1" applyFill="1" applyBorder="1" applyAlignment="1">
      <alignment horizontal="center" vertical="top" wrapText="1"/>
    </xf>
    <xf numFmtId="0" fontId="68" fillId="20" borderId="15" xfId="0" applyFont="1" applyFill="1" applyBorder="1" applyAlignment="1">
      <alignment horizontal="center" vertical="top" wrapText="1"/>
    </xf>
    <xf numFmtId="0" fontId="68" fillId="20" borderId="7" xfId="0" applyFont="1" applyFill="1" applyBorder="1" applyAlignment="1">
      <alignment horizontal="center" vertical="top" wrapText="1"/>
    </xf>
    <xf numFmtId="0" fontId="68" fillId="0" borderId="0" xfId="1" applyNumberFormat="1" applyFont="1" applyFill="1" applyBorder="1" applyAlignment="1">
      <alignment horizontal="center" vertical="top"/>
    </xf>
    <xf numFmtId="0" fontId="69" fillId="0" borderId="0" xfId="1" applyNumberFormat="1" applyFont="1" applyFill="1" applyBorder="1" applyAlignment="1">
      <alignment horizontal="center" vertical="top"/>
    </xf>
    <xf numFmtId="0" fontId="68" fillId="0" borderId="0" xfId="1" applyNumberFormat="1" applyFont="1" applyBorder="1" applyAlignment="1">
      <alignment horizontal="center" vertical="top"/>
    </xf>
    <xf numFmtId="49" fontId="70" fillId="0" borderId="1" xfId="0" applyNumberFormat="1" applyFont="1" applyFill="1" applyBorder="1" applyAlignment="1">
      <alignment horizontal="left" vertical="center" wrapText="1"/>
    </xf>
    <xf numFmtId="49" fontId="70" fillId="0" borderId="2" xfId="0" applyNumberFormat="1" applyFont="1" applyFill="1" applyBorder="1" applyAlignment="1">
      <alignment horizontal="left" vertical="center" wrapText="1"/>
    </xf>
  </cellXfs>
  <cellStyles count="7">
    <cellStyle name="Normal 2 2" xfId="4"/>
    <cellStyle name="Normal 3" xfId="5"/>
    <cellStyle name="เครื่องหมายจุลภาค" xfId="1" builtinId="3"/>
    <cellStyle name="เครื่องหมายจุลภาค 3 2 2" xfId="3"/>
    <cellStyle name="ปกติ" xfId="0" builtinId="0"/>
    <cellStyle name="ปกติ 2" xfId="2"/>
    <cellStyle name="ปกติ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externalLink" Target="externalLinks/externalLink1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19.xml"/><Relationship Id="rId47" Type="http://schemas.openxmlformats.org/officeDocument/2006/relationships/externalLink" Target="externalLinks/externalLink24.xml"/><Relationship Id="rId50" Type="http://schemas.openxmlformats.org/officeDocument/2006/relationships/externalLink" Target="externalLinks/externalLink27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41" Type="http://schemas.openxmlformats.org/officeDocument/2006/relationships/externalLink" Target="externalLinks/externalLink18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17.xml"/><Relationship Id="rId45" Type="http://schemas.openxmlformats.org/officeDocument/2006/relationships/externalLink" Target="externalLinks/externalLink22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49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4" Type="http://schemas.openxmlformats.org/officeDocument/2006/relationships/externalLink" Target="externalLinks/externalLink21.xml"/><Relationship Id="rId52" Type="http://schemas.openxmlformats.org/officeDocument/2006/relationships/externalLink" Target="externalLinks/externalLink2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43" Type="http://schemas.openxmlformats.org/officeDocument/2006/relationships/externalLink" Target="externalLinks/externalLink20.xml"/><Relationship Id="rId48" Type="http://schemas.openxmlformats.org/officeDocument/2006/relationships/externalLink" Target="externalLinks/externalLink25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142876</xdr:colOff>
      <xdr:row>0</xdr:row>
      <xdr:rowOff>142875</xdr:rowOff>
    </xdr:from>
    <xdr:to>
      <xdr:col>15</xdr:col>
      <xdr:colOff>400051</xdr:colOff>
      <xdr:row>3</xdr:row>
      <xdr:rowOff>28575</xdr:rowOff>
    </xdr:to>
    <xdr:sp macro="" textlink="">
      <xdr:nvSpPr>
        <xdr:cNvPr id="2" name="กล่องข้อความ 1"/>
        <xdr:cNvSpPr txBox="1"/>
      </xdr:nvSpPr>
      <xdr:spPr>
        <a:xfrm>
          <a:off x="11534776" y="142875"/>
          <a:ext cx="28194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000">
              <a:solidFill>
                <a:srgbClr val="FF0000"/>
              </a:solidFill>
            </a:rPr>
            <a:t>ทะเบียนคุมงบประมาณ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-&#3607;&#3632;&#3648;&#3610;&#3637;&#3618;&#3609;&#3588;&#3640;&#3617;&#3591;&#3610;&#3611;&#3619;&#3632;&#3617;&#3634;&#3603;66_&#3626;&#3656;&#3623;&#3609;&#3585;&#3621;&#3634;&#3591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2-&#3607;&#3632;&#3648;&#3610;&#3637;&#3618;&#3609;&#3588;&#3640;&#3617;&#3591;&#3610;&#3611;&#3619;&#3632;&#3617;&#3634;&#3603;66_&#3585;&#3621;&#3640;&#3656;&#3617;%20&#362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3-&#3607;&#3632;&#3648;&#3610;&#3637;&#3618;&#3609;&#3588;&#3640;&#3617;&#3591;&#3610;&#3611;&#3619;&#3632;&#3617;&#3634;&#3603;66_&#3585;&#3621;&#3640;&#3656;&#3617;%20&#3623;&#362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6-&#3607;&#3632;&#3648;&#3610;&#3637;&#3618;&#3609;&#3588;&#3640;&#3617;&#3591;&#3610;&#3611;&#3619;&#3632;&#3617;&#3634;&#3603;66_&#3624;&#3619;&#3611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9-&#3607;&#3632;&#3648;&#3610;&#3637;&#3618;&#3609;&#3588;&#3640;&#3617;&#3591;&#3610;&#3611;&#3619;&#3632;&#3617;&#3634;&#3603;66_&#3626;&#3617;&#361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1-&#3607;&#3632;&#3648;&#3610;&#3637;&#3618;&#3609;&#3588;&#3640;&#3617;&#3591;&#3610;&#3611;&#3619;&#3632;&#3617;&#3634;&#3603;66_&#3609;&#3610;&#3618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01-&#3607;&#3632;&#3648;&#3610;&#3637;&#3618;&#3609;&#3588;&#3640;&#3617;&#3591;&#3610;&#3611;&#3619;&#3632;&#3617;&#3634;&#3603;66_&#3605;&#3626;&#360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3607;&#3632;&#3648;&#3610;&#3637;&#3618;&#3609;&#3588;&#3640;&#3617;&#3591;&#3610;&#3611;&#3619;&#3632;&#3617;&#3634;&#3603;66_&#3585;&#3614;&#3619;.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07-&#3607;&#3632;&#3648;&#3610;&#3637;&#3618;&#3609;&#3588;&#3640;&#3617;&#3591;&#3610;&#3611;&#3619;&#3632;&#3617;&#3634;&#3603;66_&#3624;&#3586;&#3626;.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15-&#3607;&#3632;&#3648;&#3610;&#3637;&#3618;&#3609;&#3588;&#3640;&#3617;&#3591;&#3610;&#3611;&#3619;&#3632;&#3617;&#3634;&#3603;66_&#3585;&#3629;&#3591;%20&#3588;&#361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0-&#3607;&#3632;&#3648;&#3610;&#3637;&#3618;&#3609;&#3588;&#3640;&#3617;&#3591;&#3610;&#3611;&#3619;&#3632;&#3617;&#3634;&#3603;66_&#3626;&#3609;&#361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-&#3607;&#3632;&#3648;&#3610;&#3637;&#3618;&#3609;&#3588;&#3640;&#3617;&#3591;&#3610;&#3611;&#3619;&#3632;&#3617;&#3634;&#3603;66_&#3626;&#3621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2-&#3607;&#3632;&#3648;&#3610;&#3637;&#3618;&#3609;&#3588;&#3640;&#3617;&#3591;&#3610;&#3611;&#3619;&#3632;&#3617;&#3634;&#3603;66_&#3585;&#3611;&#3607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14-&#3607;&#3632;&#3648;&#3610;&#3637;&#3618;&#3609;&#3588;&#3640;&#3617;&#3591;&#3610;&#3611;&#3619;&#3632;&#3617;&#3634;&#3603;66_&#3585;&#3629;&#3591;%20&#3614;&#3624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%20&#3629;&#3618;&#3611;&#3637;%202566/&#3612;&#3621;&#3585;&#3634;&#3619;&#3651;&#3594;&#3657;&#3592;&#3656;&#3634;&#3618;&#3591;&#3610;&#3611;&#3619;&#3632;&#3617;&#3634;&#3603;2566/&#3594;&#3640;&#3604;&#3619;&#3634;&#3618;&#3591;&#3634;&#3609;&#3612;&#3621;&#3648;&#3610;&#3636;&#3585;&#3592;&#3656;&#3634;&#3618;2566/1%20&#3605;&#3588;-&#3607;&#3632;&#3648;&#3610;&#3637;&#3618;&#3609;&#3588;&#3640;&#3617;&#3591;&#3610;&#3611;&#3619;&#3632;&#3617;&#3634;&#3603;&#3611;&#3637;2566/&#3619;&#3634;&#3618;&#3591;&#3634;&#3609;&#3619;&#3623;&#3617;&#3585;&#3629;&#3591;-2566-&#3605;&#3588;6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600-&#3607;&#3632;&#3648;&#3610;&#3637;&#3618;&#3609;&#3588;&#3640;&#3617;&#3591;&#3610;&#3621;&#3591;&#3607;&#3640;&#3609;%20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900-&#3607;&#3632;&#3648;&#3610;&#3637;&#3618;&#3609;&#3588;&#3640;&#3617;&#3605;&#3656;&#3634;&#3591;&#3611;&#3619;&#3632;&#3648;&#3607;&#3624;%206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600-&#3591;&#3610;&#3621;&#3591;&#3607;&#3640;&#3609;%206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900-&#3607;&#3632;&#3648;&#3610;&#3637;&#3618;&#3609;&#3588;&#3640;&#3617;&#3606;&#3629;&#3609;&#3588;&#3639;&#3609;&#3619;&#3634;&#3618;&#3652;&#3604;&#3657;&#3649;&#3612;&#3656;&#3609;&#3604;&#3636;&#360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Job\&#3650;&#3629;&#3609;&#3591;&#3610;&#3611;&#3619;&#3632;&#3617;&#3634;&#3603;&#3648;&#3610;&#3636;&#3585;&#3649;&#3607;&#3609;&#3585;&#3633;&#3609;\&#3650;&#3629;&#3609;&#3648;&#3610;&#3636;&#3585;&#3649;&#3607;&#3609;&#3611;&#3637;%202566\&#3619;&#3634;&#3618;&#3591;&#3634;&#3609;&#3585;&#3634;&#3619;&#3650;&#3629;&#3609;\3.%20&#3608;&#3588;.65\&#3619;&#3634;&#3618;&#3591;&#3634;&#3609;&#3585;&#3634;&#3619;&#3650;&#3629;&#3609;%20&#3608;&#3588;.6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Job\&#3650;&#3629;&#3609;&#3591;&#3610;&#3611;&#3619;&#3632;&#3617;&#3634;&#3603;&#3648;&#3610;&#3636;&#3585;&#3649;&#3607;&#3609;&#3585;&#3633;&#3609;\&#3650;&#3629;&#3609;&#3648;&#3610;&#3636;&#3585;&#3649;&#3607;&#3609;&#3611;&#3637;%202566\&#3619;&#3634;&#3618;&#3591;&#3634;&#3609;&#3585;&#3634;&#3619;&#3650;&#3629;&#3609;\3.%20&#3608;&#3588;.65\&#3626;&#3619;&#3640;&#3611;&#3612;&#3621;&#3585;&#3634;&#3619;&#3651;&#3594;&#3657;%20%2031%20&#3608;&#3588;.6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Job\&#3648;&#3591;&#3636;&#3609;&#3585;&#3633;&#3609;&#3648;&#3627;&#3621;&#3639;&#3656;&#3629;&#3617;&#3611;&#3637;\&#3648;&#3591;&#3636;&#3609;&#3585;&#3633;&#3609;&#3648;&#3627;&#3621;&#3639;&#3656;&#3629;&#3617;&#3611;&#3637;%202565\&#3605;&#3636;&#3604;&#3605;&#3634;&#3617;&#3648;&#3591;&#3636;&#3609;&#3585;&#3633;&#3609;\3.&#3605;&#3636;&#3604;&#3605;&#3634;&#3617;&#3648;&#3591;&#3636;&#3609;&#3585;&#3633;&#3609;%20&#3608;&#3588;.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6-&#3607;&#3632;&#3648;&#3610;&#3637;&#3618;&#3609;&#3588;&#3640;&#3617;&#3591;&#3610;&#3611;&#3619;&#3632;&#3617;&#3634;&#3603;66_&#3585;&#3618;&#36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8-&#3607;&#3632;&#3648;&#3610;&#3637;&#3618;&#3609;&#3588;&#3640;&#3617;&#3591;&#3610;&#3611;&#3619;&#3632;&#3617;&#3634;&#3603;66_&#3585;&#3617;.&#3629;&#361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9-&#3607;&#3632;&#3648;&#3610;&#3637;&#3618;&#3609;&#3588;&#3640;&#3617;&#3591;&#3610;&#3611;&#3619;&#3632;&#3617;&#3634;&#3603;66_&#3585;&#3629;&#3591;%20&#361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0-&#3607;&#3632;&#3648;&#3610;&#3637;&#3618;&#3609;&#3588;&#3640;&#3617;&#3591;&#3610;&#3611;&#3619;&#3632;&#3617;&#3634;&#3603;66_&#3585;&#3629;&#3591;&#3618;&#363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1-&#3607;&#3632;&#3648;&#3610;&#3637;&#3618;&#3609;&#3588;&#3640;&#3617;&#3591;&#3610;&#3611;&#3619;&#3632;&#3617;&#3634;&#3603;66_&#3585;&#3629;&#3591;%20&#36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2-&#3607;&#3632;&#3648;&#3610;&#3637;&#3618;&#3609;&#3588;&#3640;&#3617;&#3591;&#3610;&#3611;&#3619;&#3632;&#3617;&#3634;&#3603;66_&#3629;&#3634;&#3627;&#3634;&#361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3-&#3607;&#3632;&#3648;&#3610;&#3637;&#3618;&#3609;&#3588;&#3640;&#3617;&#3591;&#3610;&#3611;&#3619;&#3632;&#3617;&#3634;&#3603;66_&#3585;&#3629;&#3591;&#3604;&#3656;&#3634;&#36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สรุป"/>
      <sheetName val="ค่าเช่าบ้าน(ผบ)"/>
      <sheetName val="เต็มขั้น"/>
      <sheetName val="พตส"/>
      <sheetName val="ไม่ทำเวช"/>
      <sheetName val="ชายแดนใต้"/>
      <sheetName val="สมทบประกันสังคม"/>
      <sheetName val="กองทุนเงินทดแทน(จ่ายครั้งเดียว)"/>
      <sheetName val="ซ่อมครุภัณฑ์"/>
      <sheetName val="ซ่อมยานพาหนะ"/>
      <sheetName val="ค่าเช่าคลัง"/>
      <sheetName val="สายด่วน 1556"/>
      <sheetName val="e-saraban"/>
      <sheetName val="รถประจำตำแหน่ง"/>
      <sheetName val="ค่าจ้างดูแล สนง"/>
      <sheetName val="สาธารณูปโภค"/>
      <sheetName val="ศขส.ดูแล"/>
      <sheetName val="ค่าตรวจวิเคราะห์"/>
      <sheetName val="งบส่วนกลาง(ผ2ผ1)"/>
      <sheetName val="งบส่วนกลาง(ผ2ผ2)"/>
    </sheetNames>
    <sheetDataSet>
      <sheetData sheetId="0" refreshError="1"/>
      <sheetData sheetId="1">
        <row r="5">
          <cell r="B5">
            <v>216000</v>
          </cell>
          <cell r="C5">
            <v>108000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216000</v>
          </cell>
          <cell r="L5">
            <v>108000</v>
          </cell>
          <cell r="M5">
            <v>0</v>
          </cell>
          <cell r="N5">
            <v>6000</v>
          </cell>
          <cell r="O5">
            <v>0</v>
          </cell>
          <cell r="P5">
            <v>12000</v>
          </cell>
          <cell r="Q5">
            <v>90000</v>
          </cell>
          <cell r="R5">
            <v>198000</v>
          </cell>
        </row>
        <row r="6">
          <cell r="B6">
            <v>1001800</v>
          </cell>
          <cell r="C6">
            <v>500900</v>
          </cell>
          <cell r="D6">
            <v>0</v>
          </cell>
          <cell r="E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1001800</v>
          </cell>
          <cell r="L6">
            <v>500900</v>
          </cell>
          <cell r="M6">
            <v>0</v>
          </cell>
          <cell r="N6">
            <v>0</v>
          </cell>
          <cell r="O6">
            <v>0</v>
          </cell>
          <cell r="P6">
            <v>107372.48999999999</v>
          </cell>
          <cell r="Q6">
            <v>393527.51</v>
          </cell>
          <cell r="R6">
            <v>894427.51</v>
          </cell>
        </row>
        <row r="7">
          <cell r="B7">
            <v>9900000</v>
          </cell>
          <cell r="C7">
            <v>4950000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9900000</v>
          </cell>
          <cell r="L7">
            <v>4950000</v>
          </cell>
          <cell r="M7">
            <v>0</v>
          </cell>
          <cell r="N7">
            <v>0</v>
          </cell>
          <cell r="O7">
            <v>0</v>
          </cell>
          <cell r="P7">
            <v>1852512.73</v>
          </cell>
          <cell r="Q7">
            <v>3097487.27</v>
          </cell>
          <cell r="R7">
            <v>8047487.2699999996</v>
          </cell>
        </row>
        <row r="8">
          <cell r="B8">
            <v>10620000</v>
          </cell>
          <cell r="C8">
            <v>5310000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10620000</v>
          </cell>
          <cell r="L8">
            <v>5310000</v>
          </cell>
          <cell r="M8">
            <v>0</v>
          </cell>
          <cell r="N8">
            <v>0</v>
          </cell>
          <cell r="O8">
            <v>0</v>
          </cell>
          <cell r="P8">
            <v>2985000</v>
          </cell>
          <cell r="Q8">
            <v>2325000</v>
          </cell>
          <cell r="R8">
            <v>7635000</v>
          </cell>
        </row>
        <row r="9">
          <cell r="B9">
            <v>48000</v>
          </cell>
          <cell r="C9">
            <v>24000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48000</v>
          </cell>
          <cell r="L9">
            <v>24000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24000</v>
          </cell>
          <cell r="R9">
            <v>48000</v>
          </cell>
        </row>
        <row r="10">
          <cell r="B10">
            <v>963000</v>
          </cell>
          <cell r="C10">
            <v>481500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963000</v>
          </cell>
          <cell r="L10">
            <v>481500</v>
          </cell>
          <cell r="M10">
            <v>0</v>
          </cell>
          <cell r="N10">
            <v>0</v>
          </cell>
          <cell r="O10">
            <v>0</v>
          </cell>
          <cell r="P10">
            <v>140138</v>
          </cell>
          <cell r="Q10">
            <v>341362</v>
          </cell>
          <cell r="R10">
            <v>822862</v>
          </cell>
        </row>
        <row r="11">
          <cell r="B11">
            <v>56000</v>
          </cell>
          <cell r="C11">
            <v>28000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56000</v>
          </cell>
          <cell r="L11">
            <v>28000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28000</v>
          </cell>
          <cell r="R11">
            <v>56000</v>
          </cell>
        </row>
        <row r="14">
          <cell r="B14">
            <v>3632700</v>
          </cell>
          <cell r="C14">
            <v>1463625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3632700</v>
          </cell>
          <cell r="L14">
            <v>1463625</v>
          </cell>
          <cell r="M14">
            <v>131289</v>
          </cell>
          <cell r="N14">
            <v>2000</v>
          </cell>
          <cell r="O14">
            <v>6955</v>
          </cell>
          <cell r="P14">
            <v>142266</v>
          </cell>
          <cell r="Q14">
            <v>1181115</v>
          </cell>
          <cell r="R14">
            <v>3350190</v>
          </cell>
        </row>
        <row r="15">
          <cell r="B15">
            <v>213200</v>
          </cell>
          <cell r="C15">
            <v>106600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213200</v>
          </cell>
          <cell r="L15">
            <v>106600</v>
          </cell>
          <cell r="M15">
            <v>0</v>
          </cell>
          <cell r="N15">
            <v>2487.75</v>
          </cell>
          <cell r="O15">
            <v>0</v>
          </cell>
          <cell r="P15">
            <v>25520.51</v>
          </cell>
          <cell r="Q15">
            <v>78591.740000000005</v>
          </cell>
          <cell r="R15">
            <v>185191.74</v>
          </cell>
        </row>
        <row r="16">
          <cell r="B16">
            <v>285400</v>
          </cell>
          <cell r="C16">
            <v>118920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285400</v>
          </cell>
          <cell r="L16">
            <v>118920</v>
          </cell>
          <cell r="M16">
            <v>0</v>
          </cell>
          <cell r="N16">
            <v>0</v>
          </cell>
          <cell r="O16">
            <v>0</v>
          </cell>
          <cell r="P16">
            <v>48800</v>
          </cell>
          <cell r="Q16">
            <v>70120</v>
          </cell>
          <cell r="R16">
            <v>236600</v>
          </cell>
        </row>
        <row r="17">
          <cell r="B17">
            <v>100000</v>
          </cell>
          <cell r="C17">
            <v>100000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100000</v>
          </cell>
          <cell r="L17">
            <v>100000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100000</v>
          </cell>
          <cell r="R17">
            <v>100000</v>
          </cell>
        </row>
        <row r="18">
          <cell r="B18">
            <v>510000</v>
          </cell>
          <cell r="C18">
            <v>212500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510000</v>
          </cell>
          <cell r="L18">
            <v>212500</v>
          </cell>
          <cell r="M18">
            <v>0</v>
          </cell>
          <cell r="N18">
            <v>0</v>
          </cell>
          <cell r="O18">
            <v>124494.25</v>
          </cell>
          <cell r="P18">
            <v>0</v>
          </cell>
          <cell r="Q18">
            <v>88005.75</v>
          </cell>
          <cell r="R18">
            <v>385505.75</v>
          </cell>
        </row>
        <row r="19">
          <cell r="B19">
            <v>1296000</v>
          </cell>
          <cell r="C19">
            <v>540000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1296000</v>
          </cell>
          <cell r="L19">
            <v>540000</v>
          </cell>
          <cell r="M19">
            <v>0</v>
          </cell>
          <cell r="N19">
            <v>0</v>
          </cell>
          <cell r="O19">
            <v>0</v>
          </cell>
          <cell r="P19">
            <v>324000</v>
          </cell>
          <cell r="Q19">
            <v>216000</v>
          </cell>
          <cell r="R19">
            <v>972000</v>
          </cell>
        </row>
        <row r="20">
          <cell r="B20">
            <v>12185700</v>
          </cell>
          <cell r="C20">
            <v>5077375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12185700</v>
          </cell>
          <cell r="L20">
            <v>5077375</v>
          </cell>
          <cell r="M20">
            <v>0</v>
          </cell>
          <cell r="N20">
            <v>3000</v>
          </cell>
          <cell r="O20">
            <v>0</v>
          </cell>
          <cell r="P20">
            <v>2082489.86</v>
          </cell>
          <cell r="Q20">
            <v>2991885.1399999997</v>
          </cell>
          <cell r="R20">
            <v>10100210.140000001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3000</v>
          </cell>
          <cell r="O23">
            <v>0</v>
          </cell>
          <cell r="P23">
            <v>13000</v>
          </cell>
          <cell r="Q23">
            <v>0</v>
          </cell>
          <cell r="R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773733</v>
          </cell>
          <cell r="Q24">
            <v>0</v>
          </cell>
          <cell r="R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220110</v>
          </cell>
          <cell r="Q25">
            <v>0</v>
          </cell>
          <cell r="R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70218.759999999995</v>
          </cell>
          <cell r="Q26">
            <v>0</v>
          </cell>
          <cell r="R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16000</v>
          </cell>
          <cell r="Q27">
            <v>0</v>
          </cell>
          <cell r="R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9897.5</v>
          </cell>
          <cell r="Q28">
            <v>0</v>
          </cell>
          <cell r="R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922200</v>
          </cell>
          <cell r="Q29">
            <v>0</v>
          </cell>
          <cell r="R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6420</v>
          </cell>
          <cell r="Q30">
            <v>0</v>
          </cell>
          <cell r="R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12840</v>
          </cell>
          <cell r="Q31">
            <v>0</v>
          </cell>
          <cell r="R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16050</v>
          </cell>
          <cell r="Q32">
            <v>0</v>
          </cell>
          <cell r="R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13375</v>
          </cell>
          <cell r="Q33">
            <v>0</v>
          </cell>
          <cell r="R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8645.6</v>
          </cell>
          <cell r="Q34">
            <v>0</v>
          </cell>
          <cell r="R34">
            <v>0</v>
          </cell>
        </row>
        <row r="35">
          <cell r="B35">
            <v>16702100</v>
          </cell>
          <cell r="C35">
            <v>8351050</v>
          </cell>
          <cell r="D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16702100</v>
          </cell>
          <cell r="L35">
            <v>8351050</v>
          </cell>
          <cell r="M35">
            <v>0</v>
          </cell>
          <cell r="N35">
            <v>275378.77999999997</v>
          </cell>
          <cell r="O35">
            <v>0</v>
          </cell>
          <cell r="P35">
            <v>4629911.84</v>
          </cell>
          <cell r="Q35">
            <v>3445759.38</v>
          </cell>
          <cell r="R35">
            <v>11796809.380000001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3374234.7800000003</v>
          </cell>
          <cell r="Q36">
            <v>0</v>
          </cell>
          <cell r="R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109927.6</v>
          </cell>
          <cell r="Q37">
            <v>0</v>
          </cell>
          <cell r="R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171861.8</v>
          </cell>
          <cell r="O38">
            <v>0</v>
          </cell>
          <cell r="P38">
            <v>352220.28</v>
          </cell>
          <cell r="Q38">
            <v>0</v>
          </cell>
          <cell r="R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100293.84999999999</v>
          </cell>
          <cell r="O39">
            <v>0</v>
          </cell>
          <cell r="P39">
            <v>214115.14999999997</v>
          </cell>
          <cell r="Q39">
            <v>0</v>
          </cell>
          <cell r="R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359525</v>
          </cell>
          <cell r="Q40">
            <v>0</v>
          </cell>
          <cell r="R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2475.1999999999998</v>
          </cell>
          <cell r="O41">
            <v>0</v>
          </cell>
          <cell r="P41">
            <v>19015.719999999998</v>
          </cell>
          <cell r="Q41">
            <v>0</v>
          </cell>
          <cell r="R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747.93</v>
          </cell>
          <cell r="O42">
            <v>0</v>
          </cell>
          <cell r="P42">
            <v>200873.31</v>
          </cell>
          <cell r="Q42">
            <v>0</v>
          </cell>
          <cell r="R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5">
          <cell r="B45">
            <v>11873500</v>
          </cell>
          <cell r="C45">
            <v>5936750</v>
          </cell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11873500</v>
          </cell>
          <cell r="L45">
            <v>5936750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5936750</v>
          </cell>
          <cell r="R45">
            <v>11873500</v>
          </cell>
        </row>
        <row r="46">
          <cell r="B46">
            <v>636000</v>
          </cell>
          <cell r="C46">
            <v>318000</v>
          </cell>
          <cell r="D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636000</v>
          </cell>
          <cell r="L46">
            <v>318000</v>
          </cell>
          <cell r="M46">
            <v>0</v>
          </cell>
          <cell r="N46">
            <v>0</v>
          </cell>
          <cell r="O46">
            <v>0</v>
          </cell>
          <cell r="P46">
            <v>112374</v>
          </cell>
          <cell r="Q46">
            <v>205626</v>
          </cell>
          <cell r="R46">
            <v>523626</v>
          </cell>
        </row>
        <row r="47">
          <cell r="B47">
            <v>100000</v>
          </cell>
          <cell r="C47">
            <v>50000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50000</v>
          </cell>
          <cell r="M47">
            <v>0</v>
          </cell>
          <cell r="N47">
            <v>0</v>
          </cell>
          <cell r="O47">
            <v>89600</v>
          </cell>
          <cell r="P47">
            <v>0</v>
          </cell>
          <cell r="Q47">
            <v>-39600</v>
          </cell>
          <cell r="R47">
            <v>10400</v>
          </cell>
        </row>
        <row r="48">
          <cell r="B48">
            <v>250000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250000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250000</v>
          </cell>
        </row>
        <row r="49">
          <cell r="B49">
            <v>1500000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1500000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1500000</v>
          </cell>
        </row>
        <row r="51">
          <cell r="B51">
            <v>12700000</v>
          </cell>
          <cell r="C51">
            <v>6350000</v>
          </cell>
          <cell r="D51">
            <v>0</v>
          </cell>
          <cell r="E51">
            <v>0</v>
          </cell>
          <cell r="G51">
            <v>-1313500</v>
          </cell>
          <cell r="H51">
            <v>0</v>
          </cell>
          <cell r="I51">
            <v>0</v>
          </cell>
          <cell r="J51">
            <v>0</v>
          </cell>
          <cell r="K51">
            <v>11386500</v>
          </cell>
          <cell r="L51">
            <v>5036500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5036500</v>
          </cell>
          <cell r="R51">
            <v>11386500</v>
          </cell>
        </row>
        <row r="52">
          <cell r="B52">
            <v>15722206</v>
          </cell>
          <cell r="C52">
            <v>7002061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15722206</v>
          </cell>
          <cell r="L52">
            <v>7002061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7002061</v>
          </cell>
          <cell r="R52">
            <v>15722206</v>
          </cell>
        </row>
        <row r="53">
          <cell r="B53">
            <v>1045370</v>
          </cell>
          <cell r="C53">
            <v>522685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1045370</v>
          </cell>
          <cell r="L53">
            <v>522685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522685</v>
          </cell>
          <cell r="R53">
            <v>1045370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กลุ่ม ส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 refreshError="1"/>
      <sheetData sheetId="1">
        <row r="4">
          <cell r="B4">
            <v>72000</v>
          </cell>
          <cell r="C4">
            <v>36000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36000</v>
          </cell>
          <cell r="M4">
            <v>0</v>
          </cell>
          <cell r="N4">
            <v>0</v>
          </cell>
          <cell r="O4">
            <v>0</v>
          </cell>
          <cell r="P4">
            <v>24000</v>
          </cell>
          <cell r="Q4">
            <v>12000</v>
          </cell>
          <cell r="R4">
            <v>48000</v>
          </cell>
        </row>
        <row r="7">
          <cell r="B7">
            <v>1970124</v>
          </cell>
          <cell r="C7">
            <v>1393124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1970124</v>
          </cell>
          <cell r="L7">
            <v>1393124</v>
          </cell>
          <cell r="M7">
            <v>0</v>
          </cell>
          <cell r="N7">
            <v>0</v>
          </cell>
          <cell r="O7">
            <v>0</v>
          </cell>
          <cell r="P7">
            <v>815092.51</v>
          </cell>
          <cell r="Q7">
            <v>578031.49</v>
          </cell>
          <cell r="R7">
            <v>1155031.49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426500</v>
          </cell>
          <cell r="H13">
            <v>0</v>
          </cell>
          <cell r="I13">
            <v>0</v>
          </cell>
          <cell r="J13">
            <v>0</v>
          </cell>
          <cell r="K13">
            <v>426500</v>
          </cell>
          <cell r="L13">
            <v>426500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426500</v>
          </cell>
          <cell r="R13">
            <v>426500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กลุ่ม วอ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 refreshError="1"/>
      <sheetData sheetId="1">
        <row r="4">
          <cell r="B4">
            <v>63600</v>
          </cell>
          <cell r="C4">
            <v>31800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63600</v>
          </cell>
          <cell r="L4">
            <v>31800</v>
          </cell>
          <cell r="M4">
            <v>0</v>
          </cell>
          <cell r="N4">
            <v>0</v>
          </cell>
          <cell r="O4">
            <v>0</v>
          </cell>
          <cell r="P4">
            <v>15900</v>
          </cell>
          <cell r="Q4">
            <v>15900</v>
          </cell>
          <cell r="R4">
            <v>47700</v>
          </cell>
        </row>
        <row r="7">
          <cell r="B7">
            <v>750180</v>
          </cell>
          <cell r="C7">
            <v>512830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750180</v>
          </cell>
          <cell r="L7">
            <v>512830</v>
          </cell>
          <cell r="M7">
            <v>0</v>
          </cell>
          <cell r="N7">
            <v>4020</v>
          </cell>
          <cell r="O7">
            <v>0</v>
          </cell>
          <cell r="P7">
            <v>278538.05000000005</v>
          </cell>
          <cell r="Q7">
            <v>230271.94999999998</v>
          </cell>
          <cell r="R7">
            <v>467621.94999999995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103000</v>
          </cell>
          <cell r="H13">
            <v>0</v>
          </cell>
          <cell r="I13">
            <v>0</v>
          </cell>
          <cell r="J13">
            <v>0</v>
          </cell>
          <cell r="K13">
            <v>103000</v>
          </cell>
          <cell r="L13">
            <v>103000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103000</v>
          </cell>
          <cell r="R13">
            <v>103000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ศรป"/>
      <sheetName val="สรุป"/>
      <sheetName val="ผ1ผ1-1.1"/>
      <sheetName val="ผ2ผ1 -1.3"/>
      <sheetName val="ผ2ผ1-1.4"/>
      <sheetName val="ผ2ผ1-งบกลาง"/>
    </sheetNames>
    <sheetDataSet>
      <sheetData sheetId="0"/>
      <sheetData sheetId="1">
        <row r="4">
          <cell r="B4">
            <v>60000</v>
          </cell>
          <cell r="C4">
            <v>30000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60000</v>
          </cell>
          <cell r="L4">
            <v>30000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30000</v>
          </cell>
          <cell r="R4">
            <v>60000</v>
          </cell>
        </row>
        <row r="7">
          <cell r="B7">
            <v>8252090</v>
          </cell>
          <cell r="C7">
            <v>4294690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-500000</v>
          </cell>
          <cell r="J7">
            <v>0</v>
          </cell>
          <cell r="K7">
            <v>7752090</v>
          </cell>
          <cell r="L7">
            <v>3794690</v>
          </cell>
          <cell r="M7">
            <v>0</v>
          </cell>
          <cell r="N7">
            <v>350</v>
          </cell>
          <cell r="O7">
            <v>5470</v>
          </cell>
          <cell r="P7">
            <v>551083.68999999994</v>
          </cell>
          <cell r="Q7">
            <v>3237786.31</v>
          </cell>
          <cell r="R7">
            <v>7195186.3099999996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สมพ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  <sheetName val="ผ3ผ1-1.1"/>
    </sheetNames>
    <sheetDataSet>
      <sheetData sheetId="0" refreshError="1"/>
      <sheetData sheetId="1">
        <row r="4">
          <cell r="B4">
            <v>240000</v>
          </cell>
          <cell r="C4">
            <v>120000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240000</v>
          </cell>
          <cell r="L4">
            <v>120000</v>
          </cell>
          <cell r="M4">
            <v>0</v>
          </cell>
          <cell r="N4">
            <v>0</v>
          </cell>
          <cell r="O4">
            <v>0</v>
          </cell>
          <cell r="P4">
            <v>33000</v>
          </cell>
          <cell r="Q4">
            <v>87000</v>
          </cell>
          <cell r="R4">
            <v>207000</v>
          </cell>
        </row>
        <row r="7">
          <cell r="B7">
            <v>5077970</v>
          </cell>
          <cell r="C7">
            <v>2575320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5077970</v>
          </cell>
          <cell r="L7">
            <v>2575320</v>
          </cell>
          <cell r="M7">
            <v>0</v>
          </cell>
          <cell r="N7">
            <v>135595</v>
          </cell>
          <cell r="O7">
            <v>0</v>
          </cell>
          <cell r="P7">
            <v>2142273.8899999997</v>
          </cell>
          <cell r="Q7">
            <v>297451.1100000001</v>
          </cell>
          <cell r="R7">
            <v>2800101.1100000003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17500</v>
          </cell>
          <cell r="H13">
            <v>0</v>
          </cell>
          <cell r="I13">
            <v>0</v>
          </cell>
          <cell r="J13">
            <v>0</v>
          </cell>
          <cell r="K13">
            <v>17500</v>
          </cell>
          <cell r="L13">
            <v>17500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17500</v>
          </cell>
          <cell r="R13">
            <v>17500</v>
          </cell>
        </row>
        <row r="15">
          <cell r="B15">
            <v>8980800</v>
          </cell>
          <cell r="C15">
            <v>4490400</v>
          </cell>
          <cell r="D15">
            <v>0</v>
          </cell>
          <cell r="E15">
            <v>0</v>
          </cell>
          <cell r="G15">
            <v>0</v>
          </cell>
          <cell r="H15">
            <v>-818250</v>
          </cell>
          <cell r="I15">
            <v>-400000</v>
          </cell>
          <cell r="J15">
            <v>0</v>
          </cell>
          <cell r="K15">
            <v>7762550</v>
          </cell>
          <cell r="L15">
            <v>3272150</v>
          </cell>
          <cell r="M15">
            <v>0</v>
          </cell>
          <cell r="N15">
            <v>0</v>
          </cell>
          <cell r="O15">
            <v>0</v>
          </cell>
          <cell r="P15">
            <v>587980</v>
          </cell>
          <cell r="Q15">
            <v>2684170</v>
          </cell>
          <cell r="R15">
            <v>7174570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นบย"/>
      <sheetName val="สรุป"/>
      <sheetName val="ผ1ผ1-1.1"/>
      <sheetName val="ผ2ผ1 -1.5"/>
      <sheetName val="ผ2ผ1-งบกลาง"/>
      <sheetName val="ผ3ผ1-1.1"/>
    </sheetNames>
    <sheetDataSet>
      <sheetData sheetId="0"/>
      <sheetData sheetId="1">
        <row r="4">
          <cell r="B4">
            <v>60000</v>
          </cell>
          <cell r="C4">
            <v>30000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60000</v>
          </cell>
          <cell r="L4">
            <v>30000</v>
          </cell>
          <cell r="M4">
            <v>0</v>
          </cell>
          <cell r="N4">
            <v>0</v>
          </cell>
          <cell r="O4">
            <v>0</v>
          </cell>
          <cell r="P4">
            <v>15000</v>
          </cell>
          <cell r="Q4">
            <v>15000</v>
          </cell>
          <cell r="R4">
            <v>45000</v>
          </cell>
        </row>
        <row r="7">
          <cell r="B7">
            <v>4499455</v>
          </cell>
          <cell r="C7">
            <v>2199730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4499455</v>
          </cell>
          <cell r="L7">
            <v>2199730</v>
          </cell>
          <cell r="M7">
            <v>0</v>
          </cell>
          <cell r="N7">
            <v>163219</v>
          </cell>
          <cell r="O7">
            <v>30208.240000000002</v>
          </cell>
          <cell r="P7">
            <v>913128</v>
          </cell>
          <cell r="Q7">
            <v>1093174.76</v>
          </cell>
          <cell r="R7">
            <v>3392899.76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>
            <v>16393400</v>
          </cell>
          <cell r="C11">
            <v>8196650</v>
          </cell>
          <cell r="D11">
            <v>0</v>
          </cell>
          <cell r="E11">
            <v>0</v>
          </cell>
          <cell r="G11">
            <v>0</v>
          </cell>
          <cell r="H11">
            <v>818250</v>
          </cell>
          <cell r="I11">
            <v>0</v>
          </cell>
          <cell r="J11">
            <v>0</v>
          </cell>
          <cell r="K11">
            <v>17211650</v>
          </cell>
          <cell r="L11">
            <v>9014900</v>
          </cell>
          <cell r="M11">
            <v>0</v>
          </cell>
          <cell r="N11">
            <v>0</v>
          </cell>
          <cell r="O11">
            <v>0</v>
          </cell>
          <cell r="P11">
            <v>378920</v>
          </cell>
          <cell r="Q11">
            <v>8635980</v>
          </cell>
          <cell r="R11">
            <v>16832730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ตสน"/>
      <sheetName val="สรุป"/>
      <sheetName val="ผ2ผ1 -1.1"/>
      <sheetName val="ผ2ผ1-งบกลาง"/>
    </sheetNames>
    <sheetDataSet>
      <sheetData sheetId="0"/>
      <sheetData sheetId="1">
        <row r="5">
          <cell r="B5">
            <v>153630</v>
          </cell>
          <cell r="C5">
            <v>76815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153630</v>
          </cell>
          <cell r="L5">
            <v>76815</v>
          </cell>
          <cell r="M5">
            <v>28700</v>
          </cell>
          <cell r="N5">
            <v>0</v>
          </cell>
          <cell r="O5">
            <v>0</v>
          </cell>
          <cell r="P5">
            <v>26966.58</v>
          </cell>
          <cell r="Q5">
            <v>21148.42</v>
          </cell>
          <cell r="R5">
            <v>97963.42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กพร"/>
      <sheetName val="สรุป"/>
      <sheetName val="ผ2ผ1 -1.1"/>
      <sheetName val="ผ2ผ1 งบกลาง"/>
    </sheetNames>
    <sheetDataSet>
      <sheetData sheetId="0"/>
      <sheetData sheetId="1">
        <row r="5">
          <cell r="B5">
            <v>395950</v>
          </cell>
          <cell r="C5">
            <v>197975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395950</v>
          </cell>
          <cell r="L5">
            <v>197975</v>
          </cell>
          <cell r="M5">
            <v>0</v>
          </cell>
          <cell r="N5">
            <v>29760</v>
          </cell>
          <cell r="O5">
            <v>0</v>
          </cell>
          <cell r="P5">
            <v>104926.06</v>
          </cell>
          <cell r="Q5">
            <v>63288.94</v>
          </cell>
          <cell r="R5">
            <v>261263.94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ศขส"/>
      <sheetName val="สรุป"/>
      <sheetName val="ผ2ผ1 -1.1"/>
      <sheetName val="ผ2ผ1-งบกลาง"/>
    </sheetNames>
    <sheetDataSet>
      <sheetData sheetId="0"/>
      <sheetData sheetId="1">
        <row r="5">
          <cell r="B5">
            <v>851290</v>
          </cell>
          <cell r="C5">
            <v>529310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851290</v>
          </cell>
          <cell r="L5">
            <v>529310</v>
          </cell>
          <cell r="M5">
            <v>0</v>
          </cell>
          <cell r="N5">
            <v>20300</v>
          </cell>
          <cell r="O5">
            <v>0</v>
          </cell>
          <cell r="P5">
            <v>290033.05000000005</v>
          </cell>
          <cell r="Q5">
            <v>218976.94999999995</v>
          </cell>
          <cell r="R5">
            <v>540956.94999999995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คบ"/>
      <sheetName val="สรุป"/>
      <sheetName val="ผ2ผ1 -1.3"/>
      <sheetName val="ผ2ผ1-งบกลาง"/>
    </sheetNames>
    <sheetDataSet>
      <sheetData sheetId="0"/>
      <sheetData sheetId="1">
        <row r="5">
          <cell r="B5">
            <v>7070230</v>
          </cell>
          <cell r="C5">
            <v>3588080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7070230</v>
          </cell>
          <cell r="L5">
            <v>3588080</v>
          </cell>
          <cell r="M5">
            <v>0</v>
          </cell>
          <cell r="N5">
            <v>152426</v>
          </cell>
          <cell r="O5">
            <v>61000</v>
          </cell>
          <cell r="P5">
            <v>559807.55000000005</v>
          </cell>
          <cell r="Q5">
            <v>2814846.45</v>
          </cell>
          <cell r="R5">
            <v>6296996.4500000002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สนบ"/>
      <sheetName val="สรุป"/>
      <sheetName val="ผ2ผ1 -1.1"/>
      <sheetName val="ผ2ผ1-งบกลาง"/>
    </sheetNames>
    <sheetDataSet>
      <sheetData sheetId="0"/>
      <sheetData sheetId="1">
        <row r="5">
          <cell r="B5">
            <v>7569850</v>
          </cell>
          <cell r="C5">
            <v>4106700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7569850</v>
          </cell>
          <cell r="L5">
            <v>4106700</v>
          </cell>
          <cell r="M5">
            <v>0</v>
          </cell>
          <cell r="N5">
            <v>0</v>
          </cell>
          <cell r="O5">
            <v>1400</v>
          </cell>
          <cell r="P5">
            <v>1308651.97</v>
          </cell>
          <cell r="Q5">
            <v>2796648.0300000003</v>
          </cell>
          <cell r="R5">
            <v>6259798.0300000003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สล"/>
      <sheetName val="สรุป"/>
      <sheetName val="ผ1ผ1-1.1"/>
      <sheetName val="คลัง ผ2ผ1-1.1"/>
      <sheetName val="บริหาร ผ2ผ1-1.1"/>
      <sheetName val="พัสดุ ผ2ผ1-1.1"/>
      <sheetName val="ฝ่ายช่วย ผ2ผ1-1.1"/>
      <sheetName val="ฝ่าย จ ผ2ผ1-1.1"/>
      <sheetName val="นโยบาย ผอ"/>
      <sheetName val="ค่าจ้างลูกจ้าง"/>
      <sheetName val="OT"/>
      <sheetName val="เช่าเครื่องถ่าย"/>
      <sheetName val="เช่าสถานที่"/>
      <sheetName val="ค่าเช่ารถ 1.1"/>
      <sheetName val="ค่าเช่ารถ -1.3"/>
      <sheetName val="ผ2ผ1 งบกลาง"/>
      <sheetName val="แผน สล"/>
      <sheetName val="เปรียบเทียบ65-66"/>
    </sheetNames>
    <sheetDataSet>
      <sheetData sheetId="0"/>
      <sheetData sheetId="1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7">
          <cell r="B7">
            <v>6228660</v>
          </cell>
          <cell r="C7">
            <v>3030210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6228660</v>
          </cell>
          <cell r="L7">
            <v>3030210</v>
          </cell>
          <cell r="M7">
            <v>0</v>
          </cell>
          <cell r="N7">
            <v>3885</v>
          </cell>
          <cell r="O7">
            <v>199648</v>
          </cell>
          <cell r="P7">
            <v>1249987.27</v>
          </cell>
          <cell r="Q7">
            <v>1576689.73</v>
          </cell>
          <cell r="R7">
            <v>4775139.7300000004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</row>
        <row r="18">
          <cell r="K18">
            <v>748000</v>
          </cell>
          <cell r="L18">
            <v>374000</v>
          </cell>
          <cell r="M18">
            <v>0</v>
          </cell>
          <cell r="N18">
            <v>3885</v>
          </cell>
          <cell r="O18">
            <v>0</v>
          </cell>
          <cell r="P18">
            <v>266554</v>
          </cell>
        </row>
        <row r="19">
          <cell r="K19">
            <v>991000</v>
          </cell>
          <cell r="L19">
            <v>495500</v>
          </cell>
          <cell r="M19">
            <v>0</v>
          </cell>
          <cell r="N19">
            <v>0</v>
          </cell>
          <cell r="O19">
            <v>199648</v>
          </cell>
          <cell r="P19">
            <v>203580.65</v>
          </cell>
        </row>
        <row r="20">
          <cell r="K20">
            <v>230000</v>
          </cell>
          <cell r="L20">
            <v>115000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K21">
            <v>363400</v>
          </cell>
          <cell r="L21">
            <v>181700</v>
          </cell>
          <cell r="M21">
            <v>0</v>
          </cell>
          <cell r="N21">
            <v>0</v>
          </cell>
          <cell r="O21">
            <v>0</v>
          </cell>
          <cell r="P21">
            <v>1800</v>
          </cell>
        </row>
        <row r="23">
          <cell r="K23">
            <v>180000</v>
          </cell>
          <cell r="L23">
            <v>75000</v>
          </cell>
          <cell r="M23">
            <v>0</v>
          </cell>
          <cell r="N23">
            <v>0</v>
          </cell>
          <cell r="O23">
            <v>0</v>
          </cell>
          <cell r="P23">
            <v>17973.91</v>
          </cell>
        </row>
        <row r="24">
          <cell r="K24">
            <v>266000</v>
          </cell>
          <cell r="L24">
            <v>110835</v>
          </cell>
          <cell r="M24">
            <v>0</v>
          </cell>
          <cell r="N24">
            <v>0</v>
          </cell>
          <cell r="O24">
            <v>0</v>
          </cell>
          <cell r="P24">
            <v>40293.71</v>
          </cell>
        </row>
        <row r="25">
          <cell r="K25">
            <v>1000000</v>
          </cell>
          <cell r="L25">
            <v>500000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K26">
            <v>640060</v>
          </cell>
          <cell r="L26">
            <v>640060</v>
          </cell>
          <cell r="M26">
            <v>0</v>
          </cell>
          <cell r="N26">
            <v>0</v>
          </cell>
          <cell r="O26">
            <v>0</v>
          </cell>
          <cell r="P26">
            <v>555975</v>
          </cell>
        </row>
        <row r="27">
          <cell r="K27">
            <v>624000</v>
          </cell>
          <cell r="L27">
            <v>242915</v>
          </cell>
          <cell r="M27">
            <v>0</v>
          </cell>
          <cell r="N27">
            <v>0</v>
          </cell>
          <cell r="O27">
            <v>0</v>
          </cell>
          <cell r="P27">
            <v>114610</v>
          </cell>
        </row>
        <row r="28">
          <cell r="K28">
            <v>891000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K29">
            <v>295200</v>
          </cell>
          <cell r="L29">
            <v>295200</v>
          </cell>
          <cell r="M29">
            <v>0</v>
          </cell>
          <cell r="N29">
            <v>0</v>
          </cell>
          <cell r="O29">
            <v>0</v>
          </cell>
          <cell r="P29">
            <v>49200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กปท"/>
      <sheetName val="สรุป"/>
      <sheetName val="ผ2ผ1 -1.3"/>
      <sheetName val="ผ2ผ1-งบกลาง"/>
    </sheetNames>
    <sheetDataSet>
      <sheetData sheetId="0"/>
      <sheetData sheetId="1">
        <row r="5">
          <cell r="B5">
            <v>786900</v>
          </cell>
          <cell r="C5">
            <v>393450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786900</v>
          </cell>
          <cell r="L5">
            <v>393450</v>
          </cell>
          <cell r="M5">
            <v>142260</v>
          </cell>
          <cell r="N5">
            <v>4280</v>
          </cell>
          <cell r="O5">
            <v>0</v>
          </cell>
          <cell r="P5">
            <v>219442.74</v>
          </cell>
          <cell r="Q5">
            <v>27467.260000000009</v>
          </cell>
          <cell r="R5">
            <v>420917.26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พศ"/>
      <sheetName val="สรุป"/>
      <sheetName val="ผ2ผ2 -2.1"/>
      <sheetName val="ผ2ผ2-2.2"/>
      <sheetName val="ผ2ผ2-งบกลาง"/>
    </sheetNames>
    <sheetDataSet>
      <sheetData sheetId="0"/>
      <sheetData sheetId="1">
        <row r="4">
          <cell r="B4">
            <v>14024030</v>
          </cell>
          <cell r="C4">
            <v>7012015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14024030</v>
          </cell>
          <cell r="L4">
            <v>7012015</v>
          </cell>
          <cell r="M4">
            <v>0</v>
          </cell>
          <cell r="N4">
            <v>509729.58999999997</v>
          </cell>
          <cell r="O4">
            <v>85600</v>
          </cell>
          <cell r="P4">
            <v>1209932.1500000001</v>
          </cell>
          <cell r="Q4">
            <v>5206753.26</v>
          </cell>
          <cell r="R4">
            <v>12218768.26</v>
          </cell>
        </row>
        <row r="5">
          <cell r="B5">
            <v>14024030</v>
          </cell>
          <cell r="C5">
            <v>7012015</v>
          </cell>
          <cell r="D5">
            <v>0</v>
          </cell>
          <cell r="E5">
            <v>0</v>
          </cell>
          <cell r="F5">
            <v>7012015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14024030</v>
          </cell>
          <cell r="L5">
            <v>7012015</v>
          </cell>
          <cell r="M5">
            <v>0</v>
          </cell>
          <cell r="N5">
            <v>509729.58999999997</v>
          </cell>
          <cell r="O5">
            <v>85600</v>
          </cell>
          <cell r="P5">
            <v>1209932.1500000001</v>
          </cell>
          <cell r="Q5">
            <v>5206753.26</v>
          </cell>
          <cell r="R5">
            <v>12218768.26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</sheetData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reportสล."/>
      <sheetName val="ยอเบิกตาม GFMIS"/>
      <sheetName val="ยอดเบิกตามทะเบียน"/>
      <sheetName val="เปรียบเทียบGF-ทะเบียนคุม"/>
      <sheetName val="เทียบตัวชี้วัด"/>
      <sheetName val="งบดำเนินงาน"/>
      <sheetName val="งบลงทุน"/>
      <sheetName val="รวมทุกงบ"/>
      <sheetName val="ต่างประเทศ"/>
      <sheetName val="ยาเสพติด"/>
    </sheetNames>
    <sheetDataSet>
      <sheetData sheetId="0" refreshError="1"/>
      <sheetData sheetId="1" refreshError="1"/>
      <sheetData sheetId="2">
        <row r="11">
          <cell r="B11">
            <v>368231400</v>
          </cell>
        </row>
        <row r="12">
          <cell r="N12">
            <v>12168099</v>
          </cell>
        </row>
        <row r="13">
          <cell r="N13">
            <v>165759782.74000001</v>
          </cell>
        </row>
        <row r="15">
          <cell r="N15">
            <v>70639854.5</v>
          </cell>
        </row>
        <row r="16">
          <cell r="N16">
            <v>160348700</v>
          </cell>
        </row>
        <row r="17">
          <cell r="N17">
            <v>2000000</v>
          </cell>
        </row>
        <row r="18">
          <cell r="N18">
            <v>232988554.5</v>
          </cell>
        </row>
        <row r="20">
          <cell r="N20">
            <v>5431290</v>
          </cell>
        </row>
        <row r="21">
          <cell r="N21">
            <v>2185400</v>
          </cell>
        </row>
        <row r="22">
          <cell r="N22">
            <v>7616690</v>
          </cell>
        </row>
        <row r="24">
          <cell r="N24">
            <v>76071144.5</v>
          </cell>
        </row>
        <row r="25">
          <cell r="N25">
            <v>160348700</v>
          </cell>
        </row>
        <row r="26">
          <cell r="N26">
            <v>2000000</v>
          </cell>
        </row>
        <row r="27">
          <cell r="N27">
            <v>238419844.5</v>
          </cell>
        </row>
        <row r="29">
          <cell r="N29">
            <v>35439800</v>
          </cell>
        </row>
        <row r="30">
          <cell r="N30">
            <v>58911700</v>
          </cell>
        </row>
        <row r="31">
          <cell r="N31">
            <v>94351500</v>
          </cell>
        </row>
        <row r="33">
          <cell r="N33">
            <v>8500000</v>
          </cell>
        </row>
        <row r="34">
          <cell r="N34">
            <v>9815810</v>
          </cell>
        </row>
        <row r="35">
          <cell r="N35">
            <v>18315810</v>
          </cell>
        </row>
        <row r="37">
          <cell r="N37">
            <v>153591683.74000001</v>
          </cell>
        </row>
        <row r="38">
          <cell r="N38">
            <v>123679043.5</v>
          </cell>
        </row>
        <row r="39">
          <cell r="N39">
            <v>229945800</v>
          </cell>
        </row>
        <row r="40">
          <cell r="N40">
            <v>11815810</v>
          </cell>
        </row>
        <row r="41">
          <cell r="F41">
            <v>0</v>
          </cell>
          <cell r="N41">
            <v>519032337.24000001</v>
          </cell>
        </row>
      </sheetData>
      <sheetData sheetId="3">
        <row r="11">
          <cell r="B11">
            <v>368231400</v>
          </cell>
        </row>
        <row r="41">
          <cell r="F41">
            <v>1285725.79</v>
          </cell>
        </row>
      </sheetData>
      <sheetData sheetId="4" refreshError="1"/>
      <sheetData sheetId="5" refreshError="1"/>
      <sheetData sheetId="6">
        <row r="32">
          <cell r="C32">
            <v>24429600</v>
          </cell>
        </row>
      </sheetData>
      <sheetData sheetId="7">
        <row r="92">
          <cell r="E92">
            <v>160358300</v>
          </cell>
        </row>
      </sheetData>
      <sheetData sheetId="8" refreshError="1"/>
      <sheetData sheetId="9">
        <row r="70">
          <cell r="D70">
            <v>4000000</v>
          </cell>
        </row>
      </sheetData>
      <sheetData sheetId="10">
        <row r="10">
          <cell r="C10">
            <v>20700000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ทะเบียนคุมงบลงทุน"/>
      <sheetName val="สรุปรายงาน"/>
      <sheetName val="สรุปแยกจัดซื้อ-จัดจ้าง"/>
    </sheetNames>
    <sheetDataSet>
      <sheetData sheetId="0" refreshError="1"/>
      <sheetData sheetId="1" refreshError="1">
        <row r="7">
          <cell r="C7">
            <v>9600</v>
          </cell>
          <cell r="D7">
            <v>0</v>
          </cell>
          <cell r="F7">
            <v>0</v>
          </cell>
          <cell r="G7">
            <v>0</v>
          </cell>
          <cell r="H7">
            <v>0</v>
          </cell>
          <cell r="I7">
            <v>9600</v>
          </cell>
        </row>
        <row r="8">
          <cell r="C8">
            <v>9600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9600</v>
          </cell>
        </row>
        <row r="9">
          <cell r="C9">
            <v>204700</v>
          </cell>
          <cell r="D9">
            <v>0</v>
          </cell>
          <cell r="F9">
            <v>0</v>
          </cell>
          <cell r="G9">
            <v>0</v>
          </cell>
          <cell r="H9">
            <v>0</v>
          </cell>
          <cell r="I9">
            <v>178030.4</v>
          </cell>
        </row>
        <row r="10">
          <cell r="C10">
            <v>2400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2300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19300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19300</v>
          </cell>
        </row>
        <row r="13">
          <cell r="C13">
            <v>4800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>
            <v>2300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45600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30730.400000000001</v>
          </cell>
        </row>
        <row r="16">
          <cell r="C16">
            <v>47000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47000</v>
          </cell>
        </row>
        <row r="17">
          <cell r="C17">
            <v>55000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55000</v>
          </cell>
        </row>
        <row r="18">
          <cell r="C18">
            <v>26000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26000</v>
          </cell>
        </row>
        <row r="19">
          <cell r="C19">
            <v>57600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56900</v>
          </cell>
        </row>
        <row r="20">
          <cell r="C20">
            <v>19000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19000</v>
          </cell>
        </row>
        <row r="21">
          <cell r="C21">
            <v>38600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37900</v>
          </cell>
        </row>
        <row r="22">
          <cell r="C22">
            <v>138900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  <cell r="I22">
            <v>113475</v>
          </cell>
        </row>
        <row r="23">
          <cell r="C23">
            <v>31000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18500</v>
          </cell>
        </row>
        <row r="24">
          <cell r="C24">
            <v>16000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15840</v>
          </cell>
        </row>
        <row r="25">
          <cell r="C25">
            <v>30000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29000</v>
          </cell>
        </row>
        <row r="26">
          <cell r="C26">
            <v>30000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27285</v>
          </cell>
        </row>
        <row r="27">
          <cell r="C27">
            <v>21700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12950</v>
          </cell>
        </row>
        <row r="28">
          <cell r="C28">
            <v>10200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9900</v>
          </cell>
        </row>
        <row r="29">
          <cell r="C29">
            <v>5190100</v>
          </cell>
          <cell r="D29">
            <v>0</v>
          </cell>
          <cell r="F29">
            <v>91500</v>
          </cell>
          <cell r="G29">
            <v>0</v>
          </cell>
          <cell r="H29">
            <v>0</v>
          </cell>
          <cell r="I29">
            <v>43000</v>
          </cell>
        </row>
        <row r="30">
          <cell r="C30">
            <v>2288000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C31">
            <v>107000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23500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1851300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83000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C35">
            <v>118500</v>
          </cell>
          <cell r="D35">
            <v>0</v>
          </cell>
          <cell r="F35">
            <v>91500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23000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20000</v>
          </cell>
        </row>
        <row r="37">
          <cell r="C37">
            <v>23000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23000</v>
          </cell>
        </row>
        <row r="38">
          <cell r="C38">
            <v>134000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30900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>
            <v>40900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C41">
            <v>43000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C42">
            <v>214400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C43">
            <v>99000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C44">
            <v>110600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C45">
            <v>1954700</v>
          </cell>
          <cell r="D45">
            <v>-574590</v>
          </cell>
          <cell r="G45">
            <v>0</v>
          </cell>
          <cell r="H45">
            <v>0</v>
          </cell>
          <cell r="I45">
            <v>48700</v>
          </cell>
        </row>
        <row r="46">
          <cell r="C46">
            <v>1369500</v>
          </cell>
          <cell r="D46">
            <v>-574590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C47">
            <v>246000</v>
          </cell>
          <cell r="D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C48">
            <v>45900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13900</v>
          </cell>
        </row>
        <row r="49">
          <cell r="C49">
            <v>34800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34800</v>
          </cell>
        </row>
        <row r="50">
          <cell r="C50">
            <v>258500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C51">
            <v>59800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58360</v>
          </cell>
        </row>
        <row r="52">
          <cell r="C52">
            <v>59800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I52">
            <v>58360</v>
          </cell>
        </row>
        <row r="53">
          <cell r="C53">
            <v>8049600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I53">
            <v>344930</v>
          </cell>
        </row>
        <row r="54">
          <cell r="C54">
            <v>4800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4800</v>
          </cell>
        </row>
        <row r="55">
          <cell r="C55">
            <v>39500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39500</v>
          </cell>
        </row>
        <row r="56">
          <cell r="C56">
            <v>18500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18500</v>
          </cell>
        </row>
        <row r="57">
          <cell r="C57">
            <v>115600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112000</v>
          </cell>
        </row>
        <row r="58">
          <cell r="C58">
            <v>171200</v>
          </cell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170130</v>
          </cell>
        </row>
        <row r="59">
          <cell r="C59">
            <v>7700000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C60">
            <v>100800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72332</v>
          </cell>
        </row>
        <row r="61">
          <cell r="C61">
            <v>35000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34775</v>
          </cell>
        </row>
        <row r="62">
          <cell r="C62">
            <v>45900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17762</v>
          </cell>
        </row>
        <row r="63">
          <cell r="C63">
            <v>19900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19795</v>
          </cell>
        </row>
        <row r="64">
          <cell r="C64">
            <v>9900</v>
          </cell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9900</v>
          </cell>
        </row>
        <row r="65">
          <cell r="C65">
            <v>9900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9900</v>
          </cell>
        </row>
        <row r="67">
          <cell r="C67">
            <v>2910000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C68">
            <v>2910000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C69">
            <v>128307500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C70">
            <v>1650000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C71">
            <v>665000</v>
          </cell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C72">
            <v>2100000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C73">
            <v>2200000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C74">
            <v>250000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C75">
            <v>32000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C76">
            <v>50000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C77">
            <v>153700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C78">
            <v>80000</v>
          </cell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C79">
            <v>20000000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C80">
            <v>8670000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C81">
            <v>7033800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C82">
            <v>31183000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C83">
            <v>54240000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C84">
            <v>9430000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C85">
            <v>9430000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C86">
            <v>3935100</v>
          </cell>
          <cell r="D86">
            <v>574590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C87">
            <v>3935100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497550</v>
          </cell>
          <cell r="E88">
            <v>497550</v>
          </cell>
          <cell r="F88">
            <v>0</v>
          </cell>
        </row>
        <row r="89">
          <cell r="D89">
            <v>77040</v>
          </cell>
        </row>
        <row r="93">
          <cell r="C93">
            <v>2375300</v>
          </cell>
          <cell r="D93">
            <v>0</v>
          </cell>
          <cell r="F93">
            <v>1070863.73</v>
          </cell>
          <cell r="G93">
            <v>0</v>
          </cell>
          <cell r="H93">
            <v>0</v>
          </cell>
          <cell r="I93">
            <v>189900</v>
          </cell>
        </row>
        <row r="94">
          <cell r="C94">
            <v>32200</v>
          </cell>
          <cell r="F94">
            <v>0</v>
          </cell>
          <cell r="G94">
            <v>0</v>
          </cell>
          <cell r="H94">
            <v>0</v>
          </cell>
          <cell r="I94">
            <v>32200</v>
          </cell>
        </row>
        <row r="95">
          <cell r="C95">
            <v>45500</v>
          </cell>
          <cell r="F95">
            <v>0</v>
          </cell>
          <cell r="G95">
            <v>0</v>
          </cell>
          <cell r="H95">
            <v>0</v>
          </cell>
          <cell r="I95">
            <v>45500</v>
          </cell>
        </row>
        <row r="96">
          <cell r="C96">
            <v>63200</v>
          </cell>
          <cell r="F96">
            <v>0</v>
          </cell>
          <cell r="G96">
            <v>0</v>
          </cell>
          <cell r="H96">
            <v>0</v>
          </cell>
          <cell r="I96">
            <v>59200</v>
          </cell>
        </row>
        <row r="97">
          <cell r="C97">
            <v>55000</v>
          </cell>
          <cell r="F97">
            <v>0</v>
          </cell>
          <cell r="G97">
            <v>0</v>
          </cell>
          <cell r="H97">
            <v>0</v>
          </cell>
          <cell r="I97">
            <v>53000</v>
          </cell>
        </row>
        <row r="98">
          <cell r="C98">
            <v>42100</v>
          </cell>
          <cell r="F98">
            <v>39900</v>
          </cell>
          <cell r="G98">
            <v>0</v>
          </cell>
          <cell r="H98">
            <v>0</v>
          </cell>
          <cell r="I98">
            <v>0</v>
          </cell>
        </row>
        <row r="99">
          <cell r="C99">
            <v>276300</v>
          </cell>
          <cell r="F99">
            <v>218280</v>
          </cell>
          <cell r="G99">
            <v>0</v>
          </cell>
          <cell r="H99">
            <v>0</v>
          </cell>
          <cell r="I99">
            <v>0</v>
          </cell>
        </row>
        <row r="100">
          <cell r="C100">
            <v>429500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C101">
            <v>44600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C102">
            <v>216400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C103">
            <v>206500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C104">
            <v>964000</v>
          </cell>
          <cell r="F104">
            <v>812683.73</v>
          </cell>
          <cell r="G104">
            <v>0</v>
          </cell>
          <cell r="H104">
            <v>0</v>
          </cell>
          <cell r="I104">
            <v>0</v>
          </cell>
        </row>
        <row r="108">
          <cell r="C108">
            <v>58911700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C109">
            <v>58911700</v>
          </cell>
          <cell r="D109">
            <v>0</v>
          </cell>
          <cell r="F109">
            <v>0</v>
          </cell>
          <cell r="G109">
            <v>0</v>
          </cell>
        </row>
        <row r="113">
          <cell r="C113">
            <v>8500000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C114">
            <v>5500000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C115">
            <v>3000000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</sheetData>
      <sheetData sheetId="2" refreshError="1">
        <row r="7">
          <cell r="C7">
            <v>9600</v>
          </cell>
          <cell r="E7">
            <v>9600</v>
          </cell>
          <cell r="F7">
            <v>0</v>
          </cell>
          <cell r="G7">
            <v>0</v>
          </cell>
          <cell r="H7">
            <v>0</v>
          </cell>
          <cell r="I7">
            <v>9600</v>
          </cell>
        </row>
        <row r="8">
          <cell r="C8">
            <v>204700</v>
          </cell>
          <cell r="E8">
            <v>204700</v>
          </cell>
          <cell r="F8">
            <v>0</v>
          </cell>
          <cell r="G8">
            <v>0</v>
          </cell>
          <cell r="H8">
            <v>0</v>
          </cell>
          <cell r="I8">
            <v>178030.4</v>
          </cell>
        </row>
        <row r="9">
          <cell r="C9">
            <v>57600</v>
          </cell>
          <cell r="E9">
            <v>57600</v>
          </cell>
          <cell r="F9">
            <v>0</v>
          </cell>
          <cell r="G9">
            <v>0</v>
          </cell>
          <cell r="H9">
            <v>0</v>
          </cell>
          <cell r="I9">
            <v>56900</v>
          </cell>
        </row>
        <row r="10">
          <cell r="C10">
            <v>138900</v>
          </cell>
          <cell r="E10">
            <v>138900</v>
          </cell>
          <cell r="F10">
            <v>0</v>
          </cell>
          <cell r="G10">
            <v>0</v>
          </cell>
          <cell r="H10">
            <v>0</v>
          </cell>
          <cell r="I10">
            <v>113475</v>
          </cell>
        </row>
        <row r="11">
          <cell r="C11">
            <v>5190100</v>
          </cell>
          <cell r="E11">
            <v>5190100</v>
          </cell>
          <cell r="F11">
            <v>91500</v>
          </cell>
          <cell r="G11">
            <v>0</v>
          </cell>
          <cell r="H11">
            <v>0</v>
          </cell>
          <cell r="I11">
            <v>43000</v>
          </cell>
        </row>
        <row r="12">
          <cell r="C12">
            <v>1954700</v>
          </cell>
          <cell r="E12">
            <v>1380110</v>
          </cell>
          <cell r="F12">
            <v>0</v>
          </cell>
          <cell r="G12">
            <v>0</v>
          </cell>
          <cell r="H12">
            <v>0</v>
          </cell>
          <cell r="I12">
            <v>48700</v>
          </cell>
        </row>
        <row r="13">
          <cell r="C13">
            <v>59800</v>
          </cell>
          <cell r="E13">
            <v>59800</v>
          </cell>
          <cell r="F13">
            <v>0</v>
          </cell>
          <cell r="G13">
            <v>0</v>
          </cell>
          <cell r="H13">
            <v>0</v>
          </cell>
          <cell r="I13">
            <v>58360</v>
          </cell>
        </row>
        <row r="14">
          <cell r="C14">
            <v>8049600</v>
          </cell>
          <cell r="E14">
            <v>8049600</v>
          </cell>
          <cell r="F14">
            <v>0</v>
          </cell>
          <cell r="G14">
            <v>0</v>
          </cell>
          <cell r="H14">
            <v>0</v>
          </cell>
          <cell r="I14">
            <v>344930</v>
          </cell>
        </row>
        <row r="15">
          <cell r="C15">
            <v>100800</v>
          </cell>
          <cell r="E15">
            <v>100800</v>
          </cell>
          <cell r="F15">
            <v>0</v>
          </cell>
          <cell r="G15">
            <v>0</v>
          </cell>
          <cell r="H15">
            <v>0</v>
          </cell>
          <cell r="I15">
            <v>72332</v>
          </cell>
        </row>
        <row r="16">
          <cell r="C16">
            <v>9900</v>
          </cell>
          <cell r="E16">
            <v>9900</v>
          </cell>
          <cell r="F16">
            <v>0</v>
          </cell>
          <cell r="G16">
            <v>0</v>
          </cell>
          <cell r="H16">
            <v>0</v>
          </cell>
          <cell r="I16">
            <v>9900</v>
          </cell>
        </row>
        <row r="17">
          <cell r="C17">
            <v>2375300</v>
          </cell>
          <cell r="E17">
            <v>2375300</v>
          </cell>
          <cell r="F17">
            <v>1070863.73</v>
          </cell>
          <cell r="G17">
            <v>0</v>
          </cell>
          <cell r="H17">
            <v>0</v>
          </cell>
          <cell r="I17">
            <v>189900</v>
          </cell>
        </row>
        <row r="19">
          <cell r="C19">
            <v>2910000</v>
          </cell>
          <cell r="E19">
            <v>2910000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128307500</v>
          </cell>
          <cell r="E20">
            <v>128307500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9430000</v>
          </cell>
          <cell r="E21">
            <v>9430000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8500000</v>
          </cell>
          <cell r="E22">
            <v>8500000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62846800</v>
          </cell>
          <cell r="E23">
            <v>63421390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ตปท"/>
      <sheetName val="สรุป"/>
      <sheetName val="แผน ตปท"/>
    </sheetNames>
    <sheetDataSet>
      <sheetData sheetId="0" refreshError="1"/>
      <sheetData sheetId="1">
        <row r="6">
          <cell r="D6">
            <v>550000</v>
          </cell>
          <cell r="G6">
            <v>270400</v>
          </cell>
          <cell r="H6">
            <v>0</v>
          </cell>
          <cell r="I6">
            <v>0</v>
          </cell>
          <cell r="J6">
            <v>0</v>
          </cell>
        </row>
        <row r="7">
          <cell r="D7">
            <v>700000</v>
          </cell>
          <cell r="G7">
            <v>536200</v>
          </cell>
          <cell r="H7">
            <v>0</v>
          </cell>
          <cell r="I7">
            <v>1000</v>
          </cell>
          <cell r="J7">
            <v>0</v>
          </cell>
        </row>
        <row r="8">
          <cell r="D8">
            <v>250000</v>
          </cell>
          <cell r="G8">
            <v>55900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300000</v>
          </cell>
          <cell r="G11">
            <v>92900</v>
          </cell>
          <cell r="H11">
            <v>0</v>
          </cell>
          <cell r="I11">
            <v>0</v>
          </cell>
          <cell r="J11">
            <v>7300</v>
          </cell>
        </row>
        <row r="12">
          <cell r="D12">
            <v>294000</v>
          </cell>
          <cell r="G12">
            <v>240600</v>
          </cell>
          <cell r="H12">
            <v>0</v>
          </cell>
          <cell r="I12">
            <v>0</v>
          </cell>
          <cell r="J12">
            <v>81690.31</v>
          </cell>
        </row>
        <row r="13">
          <cell r="D13">
            <v>150000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256000</v>
          </cell>
          <cell r="G14">
            <v>55000</v>
          </cell>
          <cell r="H14">
            <v>0</v>
          </cell>
          <cell r="I14">
            <v>0</v>
          </cell>
          <cell r="J14">
            <v>0</v>
          </cell>
        </row>
        <row r="17">
          <cell r="D17">
            <v>350000</v>
          </cell>
          <cell r="G17">
            <v>249800</v>
          </cell>
          <cell r="H17">
            <v>0</v>
          </cell>
          <cell r="I17">
            <v>0</v>
          </cell>
          <cell r="J17">
            <v>0</v>
          </cell>
        </row>
        <row r="18">
          <cell r="D18">
            <v>300000</v>
          </cell>
          <cell r="G18">
            <v>195500</v>
          </cell>
          <cell r="H18">
            <v>0</v>
          </cell>
          <cell r="I18">
            <v>0</v>
          </cell>
          <cell r="J18">
            <v>0</v>
          </cell>
        </row>
        <row r="19">
          <cell r="D19">
            <v>400000</v>
          </cell>
          <cell r="G19">
            <v>303700</v>
          </cell>
          <cell r="H19">
            <v>0</v>
          </cell>
          <cell r="I19">
            <v>0</v>
          </cell>
          <cell r="J19">
            <v>0</v>
          </cell>
        </row>
        <row r="20">
          <cell r="D20">
            <v>250000</v>
          </cell>
          <cell r="G20">
            <v>153700</v>
          </cell>
          <cell r="H20">
            <v>0</v>
          </cell>
          <cell r="I20">
            <v>0</v>
          </cell>
          <cell r="J20">
            <v>0</v>
          </cell>
        </row>
        <row r="21">
          <cell r="D21">
            <v>150000</v>
          </cell>
          <cell r="G21">
            <v>150000</v>
          </cell>
          <cell r="H21">
            <v>0</v>
          </cell>
          <cell r="I21">
            <v>0</v>
          </cell>
          <cell r="J21">
            <v>0</v>
          </cell>
        </row>
        <row r="22">
          <cell r="D22">
            <v>450000</v>
          </cell>
          <cell r="G22">
            <v>0</v>
          </cell>
          <cell r="H22">
            <v>0</v>
          </cell>
          <cell r="I22">
            <v>0</v>
          </cell>
          <cell r="J22">
            <v>138471.18999999997</v>
          </cell>
        </row>
      </sheetData>
      <sheetData sheetId="2">
        <row r="13">
          <cell r="Z13">
            <v>134400</v>
          </cell>
          <cell r="AK13">
            <v>48230.31</v>
          </cell>
        </row>
        <row r="14">
          <cell r="AK14">
            <v>33460</v>
          </cell>
        </row>
        <row r="15">
          <cell r="Z15">
            <v>48500</v>
          </cell>
        </row>
        <row r="16">
          <cell r="Z16">
            <v>110400</v>
          </cell>
        </row>
        <row r="17">
          <cell r="Z17">
            <v>37400</v>
          </cell>
        </row>
        <row r="18">
          <cell r="Z18">
            <v>43500</v>
          </cell>
        </row>
        <row r="19">
          <cell r="Z19">
            <v>37400</v>
          </cell>
        </row>
        <row r="20">
          <cell r="Z20">
            <v>55600</v>
          </cell>
        </row>
        <row r="21">
          <cell r="Z21">
            <v>41400</v>
          </cell>
        </row>
        <row r="22">
          <cell r="Z22">
            <v>49600</v>
          </cell>
        </row>
        <row r="23">
          <cell r="Z23">
            <v>55700</v>
          </cell>
        </row>
        <row r="24">
          <cell r="Z24">
            <v>41400</v>
          </cell>
        </row>
        <row r="25">
          <cell r="Z25">
            <v>55700</v>
          </cell>
        </row>
        <row r="26">
          <cell r="Z26">
            <v>37400</v>
          </cell>
        </row>
        <row r="27">
          <cell r="Z27">
            <v>38500</v>
          </cell>
        </row>
        <row r="28">
          <cell r="Z28">
            <v>66000</v>
          </cell>
        </row>
        <row r="29">
          <cell r="Z29">
            <v>33500</v>
          </cell>
        </row>
        <row r="30">
          <cell r="Z30">
            <v>40500</v>
          </cell>
        </row>
        <row r="31">
          <cell r="Z31">
            <v>27900</v>
          </cell>
        </row>
        <row r="32">
          <cell r="Z32">
            <v>27900</v>
          </cell>
        </row>
        <row r="33">
          <cell r="Z33">
            <v>63000</v>
          </cell>
        </row>
        <row r="34">
          <cell r="Z34">
            <v>100200</v>
          </cell>
        </row>
        <row r="36">
          <cell r="Z36">
            <v>270400</v>
          </cell>
        </row>
        <row r="38">
          <cell r="Z38">
            <v>68000</v>
          </cell>
        </row>
        <row r="39">
          <cell r="Z39">
            <v>82000</v>
          </cell>
        </row>
        <row r="41">
          <cell r="Z41">
            <v>102500</v>
          </cell>
          <cell r="AJ41">
            <v>1000</v>
          </cell>
        </row>
        <row r="42">
          <cell r="Z42">
            <v>93000</v>
          </cell>
        </row>
        <row r="43">
          <cell r="Z43">
            <v>0</v>
          </cell>
        </row>
        <row r="45">
          <cell r="Z45">
            <v>163000</v>
          </cell>
        </row>
        <row r="46">
          <cell r="Z46">
            <v>0</v>
          </cell>
        </row>
        <row r="47">
          <cell r="Z47">
            <v>0</v>
          </cell>
        </row>
        <row r="48">
          <cell r="Z48">
            <v>120300</v>
          </cell>
        </row>
        <row r="49">
          <cell r="Z49">
            <v>106200</v>
          </cell>
        </row>
        <row r="50">
          <cell r="Z50">
            <v>110500</v>
          </cell>
        </row>
        <row r="51">
          <cell r="Z51">
            <v>55900</v>
          </cell>
        </row>
        <row r="52">
          <cell r="Z52">
            <v>0</v>
          </cell>
        </row>
        <row r="53">
          <cell r="Z53">
            <v>0</v>
          </cell>
        </row>
        <row r="57">
          <cell r="Z57">
            <v>0</v>
          </cell>
        </row>
        <row r="58">
          <cell r="Z58">
            <v>0</v>
          </cell>
        </row>
        <row r="59">
          <cell r="Z59">
            <v>0</v>
          </cell>
        </row>
        <row r="60">
          <cell r="Z60">
            <v>0</v>
          </cell>
        </row>
        <row r="61">
          <cell r="Z61">
            <v>119900</v>
          </cell>
        </row>
        <row r="62">
          <cell r="Z62">
            <v>0</v>
          </cell>
        </row>
        <row r="63">
          <cell r="Z63">
            <v>0</v>
          </cell>
        </row>
        <row r="64">
          <cell r="Z64">
            <v>0</v>
          </cell>
        </row>
        <row r="65">
          <cell r="Z65">
            <v>0</v>
          </cell>
        </row>
        <row r="66">
          <cell r="Z66">
            <v>39500</v>
          </cell>
          <cell r="AK66">
            <v>7300</v>
          </cell>
        </row>
        <row r="67">
          <cell r="Z67">
            <v>0</v>
          </cell>
        </row>
        <row r="68">
          <cell r="Z68">
            <v>102500</v>
          </cell>
        </row>
        <row r="69">
          <cell r="Z69">
            <v>450000</v>
          </cell>
          <cell r="AK69">
            <v>138471.18999999997</v>
          </cell>
        </row>
        <row r="70">
          <cell r="Z70">
            <v>97500</v>
          </cell>
        </row>
        <row r="71">
          <cell r="Z71">
            <v>0</v>
          </cell>
        </row>
        <row r="72">
          <cell r="Z72">
            <v>79850</v>
          </cell>
        </row>
        <row r="73">
          <cell r="Z73">
            <v>73850</v>
          </cell>
        </row>
        <row r="74">
          <cell r="Z74">
            <v>0</v>
          </cell>
        </row>
        <row r="75">
          <cell r="Z75">
            <v>53400</v>
          </cell>
        </row>
        <row r="76">
          <cell r="Z76">
            <v>63100</v>
          </cell>
        </row>
        <row r="77">
          <cell r="Z77">
            <v>75600</v>
          </cell>
        </row>
        <row r="78">
          <cell r="Z78">
            <v>0</v>
          </cell>
        </row>
        <row r="80">
          <cell r="Z80">
            <v>53400</v>
          </cell>
        </row>
        <row r="81">
          <cell r="Z81">
            <v>73900</v>
          </cell>
        </row>
        <row r="82">
          <cell r="Z82">
            <v>0</v>
          </cell>
        </row>
        <row r="83">
          <cell r="Z83">
            <v>249800</v>
          </cell>
        </row>
        <row r="84">
          <cell r="Z84">
            <v>0</v>
          </cell>
        </row>
        <row r="86">
          <cell r="X86">
            <v>150000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ทะเบียนคุมงบลงทุน"/>
      <sheetName val="สรุปรายงาน"/>
      <sheetName val="สรุปแยกจัดซื้อ-จัดจ้าง"/>
    </sheetNames>
    <sheetDataSet>
      <sheetData sheetId="0" refreshError="1">
        <row r="8">
          <cell r="K8">
            <v>9600</v>
          </cell>
          <cell r="V8">
            <v>9600</v>
          </cell>
        </row>
        <row r="9">
          <cell r="V9">
            <v>9600</v>
          </cell>
        </row>
        <row r="11">
          <cell r="V11">
            <v>2910000</v>
          </cell>
        </row>
        <row r="12">
          <cell r="V12">
            <v>2910000</v>
          </cell>
        </row>
        <row r="14">
          <cell r="V14">
            <v>204700</v>
          </cell>
        </row>
        <row r="15">
          <cell r="V15">
            <v>2400</v>
          </cell>
        </row>
        <row r="16">
          <cell r="V16">
            <v>2300</v>
          </cell>
        </row>
        <row r="17">
          <cell r="V17">
            <v>19300</v>
          </cell>
        </row>
        <row r="18">
          <cell r="V18">
            <v>4800</v>
          </cell>
        </row>
        <row r="19">
          <cell r="V19">
            <v>2300</v>
          </cell>
        </row>
        <row r="20">
          <cell r="V20">
            <v>45600</v>
          </cell>
        </row>
        <row r="21">
          <cell r="V21">
            <v>47000</v>
          </cell>
        </row>
        <row r="22">
          <cell r="V22">
            <v>55000</v>
          </cell>
        </row>
        <row r="23">
          <cell r="V23">
            <v>26000</v>
          </cell>
        </row>
        <row r="25">
          <cell r="V25">
            <v>128307500</v>
          </cell>
        </row>
        <row r="26">
          <cell r="V26">
            <v>1650000</v>
          </cell>
        </row>
        <row r="27">
          <cell r="V27">
            <v>665000</v>
          </cell>
        </row>
        <row r="28">
          <cell r="V28">
            <v>2100000</v>
          </cell>
        </row>
        <row r="29">
          <cell r="V29">
            <v>2200000</v>
          </cell>
        </row>
        <row r="30">
          <cell r="V30">
            <v>250000</v>
          </cell>
        </row>
        <row r="31">
          <cell r="V31">
            <v>32000</v>
          </cell>
        </row>
        <row r="32">
          <cell r="V32">
            <v>50000</v>
          </cell>
        </row>
        <row r="33">
          <cell r="V33">
            <v>153700</v>
          </cell>
        </row>
        <row r="34">
          <cell r="V34">
            <v>80000</v>
          </cell>
        </row>
        <row r="35">
          <cell r="V35">
            <v>20000000</v>
          </cell>
        </row>
        <row r="36">
          <cell r="V36">
            <v>8670000</v>
          </cell>
        </row>
        <row r="37">
          <cell r="V37">
            <v>7033800</v>
          </cell>
        </row>
        <row r="38">
          <cell r="V38">
            <v>31183000</v>
          </cell>
        </row>
        <row r="39">
          <cell r="V39">
            <v>54240000</v>
          </cell>
        </row>
        <row r="41">
          <cell r="V41">
            <v>57600</v>
          </cell>
        </row>
        <row r="42">
          <cell r="V42">
            <v>19000</v>
          </cell>
        </row>
        <row r="43">
          <cell r="V43">
            <v>38600</v>
          </cell>
        </row>
        <row r="45">
          <cell r="V45">
            <v>138900</v>
          </cell>
        </row>
        <row r="46">
          <cell r="V46">
            <v>31000</v>
          </cell>
        </row>
        <row r="47">
          <cell r="V47">
            <v>16000</v>
          </cell>
        </row>
        <row r="48">
          <cell r="V48">
            <v>30000</v>
          </cell>
        </row>
        <row r="49">
          <cell r="V49">
            <v>30000</v>
          </cell>
        </row>
        <row r="50">
          <cell r="V50">
            <v>21700</v>
          </cell>
        </row>
        <row r="51">
          <cell r="V51">
            <v>10200</v>
          </cell>
        </row>
        <row r="53">
          <cell r="V53">
            <v>5190100</v>
          </cell>
        </row>
        <row r="54">
          <cell r="V54">
            <v>2288000</v>
          </cell>
        </row>
        <row r="55">
          <cell r="V55">
            <v>107000</v>
          </cell>
        </row>
        <row r="56">
          <cell r="V56">
            <v>23500</v>
          </cell>
        </row>
        <row r="57">
          <cell r="V57">
            <v>1851300</v>
          </cell>
        </row>
        <row r="58">
          <cell r="V58">
            <v>83000</v>
          </cell>
        </row>
        <row r="59">
          <cell r="V59">
            <v>118500</v>
          </cell>
        </row>
        <row r="60">
          <cell r="V60">
            <v>23000</v>
          </cell>
        </row>
        <row r="61">
          <cell r="V61">
            <v>23000</v>
          </cell>
        </row>
        <row r="62">
          <cell r="V62">
            <v>134000</v>
          </cell>
        </row>
        <row r="63">
          <cell r="V63">
            <v>30900</v>
          </cell>
        </row>
        <row r="64">
          <cell r="V64">
            <v>40900</v>
          </cell>
        </row>
        <row r="65">
          <cell r="V65">
            <v>43000</v>
          </cell>
        </row>
        <row r="66">
          <cell r="V66">
            <v>214400</v>
          </cell>
        </row>
        <row r="67">
          <cell r="V67">
            <v>99000</v>
          </cell>
        </row>
        <row r="68">
          <cell r="V68">
            <v>110600</v>
          </cell>
        </row>
        <row r="72">
          <cell r="V72">
            <v>246000</v>
          </cell>
        </row>
        <row r="73">
          <cell r="V73">
            <v>45900</v>
          </cell>
        </row>
        <row r="74">
          <cell r="V74">
            <v>34800</v>
          </cell>
        </row>
        <row r="75">
          <cell r="V75">
            <v>258500</v>
          </cell>
        </row>
        <row r="77">
          <cell r="V77">
            <v>59800</v>
          </cell>
        </row>
        <row r="78">
          <cell r="V78">
            <v>59800</v>
          </cell>
        </row>
        <row r="80">
          <cell r="V80">
            <v>8049600</v>
          </cell>
        </row>
        <row r="81">
          <cell r="V81">
            <v>4800</v>
          </cell>
        </row>
        <row r="82">
          <cell r="V82">
            <v>39500</v>
          </cell>
        </row>
        <row r="83">
          <cell r="V83">
            <v>18500</v>
          </cell>
        </row>
        <row r="84">
          <cell r="V84">
            <v>115600</v>
          </cell>
        </row>
        <row r="85">
          <cell r="V85">
            <v>171200</v>
          </cell>
        </row>
        <row r="86">
          <cell r="V86">
            <v>7700000</v>
          </cell>
        </row>
        <row r="88">
          <cell r="V88">
            <v>100800</v>
          </cell>
        </row>
        <row r="89">
          <cell r="V89">
            <v>35000</v>
          </cell>
        </row>
        <row r="90">
          <cell r="V90">
            <v>45900</v>
          </cell>
        </row>
        <row r="91">
          <cell r="V91">
            <v>19900</v>
          </cell>
        </row>
        <row r="93">
          <cell r="V93">
            <v>9900</v>
          </cell>
        </row>
        <row r="94">
          <cell r="V94">
            <v>9900</v>
          </cell>
        </row>
        <row r="96">
          <cell r="V96">
            <v>9430000</v>
          </cell>
        </row>
        <row r="97">
          <cell r="V97">
            <v>9430000</v>
          </cell>
        </row>
        <row r="100">
          <cell r="V100">
            <v>3935100</v>
          </cell>
        </row>
        <row r="104">
          <cell r="V104">
            <v>2375300</v>
          </cell>
        </row>
        <row r="105">
          <cell r="V105">
            <v>32200</v>
          </cell>
        </row>
        <row r="106">
          <cell r="V106">
            <v>45500</v>
          </cell>
        </row>
        <row r="107">
          <cell r="V107">
            <v>63200</v>
          </cell>
        </row>
        <row r="108">
          <cell r="V108">
            <v>55000</v>
          </cell>
        </row>
        <row r="109">
          <cell r="V109">
            <v>42100</v>
          </cell>
        </row>
        <row r="110">
          <cell r="V110">
            <v>276300</v>
          </cell>
        </row>
        <row r="111">
          <cell r="V111">
            <v>429500</v>
          </cell>
        </row>
        <row r="112">
          <cell r="V112">
            <v>44600</v>
          </cell>
        </row>
        <row r="113">
          <cell r="V113">
            <v>216400</v>
          </cell>
        </row>
        <row r="114">
          <cell r="V114">
            <v>206500</v>
          </cell>
        </row>
        <row r="115">
          <cell r="V115">
            <v>964000</v>
          </cell>
        </row>
        <row r="119">
          <cell r="U119">
            <v>0</v>
          </cell>
          <cell r="V119">
            <v>58911700</v>
          </cell>
        </row>
        <row r="120">
          <cell r="V120">
            <v>58911700</v>
          </cell>
        </row>
        <row r="124">
          <cell r="U124">
            <v>0</v>
          </cell>
          <cell r="V124">
            <v>8500000</v>
          </cell>
        </row>
        <row r="125">
          <cell r="V125">
            <v>5500000</v>
          </cell>
        </row>
        <row r="126">
          <cell r="V126">
            <v>3000000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ถอนคืนรายได้"/>
      <sheetName val="สรุป"/>
      <sheetName val="ผ2ผ1 -1.1"/>
      <sheetName val="ผ2ผ1 งบกลาง"/>
    </sheetNames>
    <sheetDataSet>
      <sheetData sheetId="0"/>
      <sheetData sheetId="1"/>
      <sheetData sheetId="2">
        <row r="2">
          <cell r="M2">
            <v>15000</v>
          </cell>
          <cell r="N2">
            <v>15000</v>
          </cell>
          <cell r="O2">
            <v>0</v>
          </cell>
          <cell r="P2">
            <v>0</v>
          </cell>
          <cell r="Q2">
            <v>0</v>
          </cell>
          <cell r="R2">
            <v>15000</v>
          </cell>
        </row>
      </sheetData>
      <sheetData sheetId="3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รายละเอียดโครงการ1-8"/>
      <sheetName val="รายละเอียดโครงการ9-11"/>
      <sheetName val="หน่วยงานอื่น"/>
      <sheetName val="คบ.เขต"/>
    </sheetNames>
    <sheetDataSet>
      <sheetData sheetId="0">
        <row r="3">
          <cell r="A3" t="str">
            <v>ณ วันที่ 31 ธันวาคม 2565</v>
          </cell>
        </row>
      </sheetData>
      <sheetData sheetId="1">
        <row r="9">
          <cell r="E9">
            <v>2116864</v>
          </cell>
          <cell r="F9">
            <v>358220</v>
          </cell>
        </row>
        <row r="10">
          <cell r="E10">
            <v>587630</v>
          </cell>
          <cell r="F10">
            <v>15000</v>
          </cell>
          <cell r="J10">
            <v>0</v>
          </cell>
          <cell r="K10">
            <v>0</v>
          </cell>
        </row>
        <row r="19">
          <cell r="E19">
            <v>54000</v>
          </cell>
          <cell r="F19">
            <v>0</v>
          </cell>
          <cell r="J19">
            <v>0</v>
          </cell>
          <cell r="K19">
            <v>0</v>
          </cell>
        </row>
        <row r="25">
          <cell r="E25">
            <v>0</v>
          </cell>
          <cell r="F25">
            <v>0</v>
          </cell>
          <cell r="J25">
            <v>0</v>
          </cell>
          <cell r="K25">
            <v>0</v>
          </cell>
        </row>
        <row r="31">
          <cell r="J31">
            <v>0</v>
          </cell>
          <cell r="K31">
            <v>0</v>
          </cell>
        </row>
        <row r="40">
          <cell r="E40">
            <v>38020</v>
          </cell>
          <cell r="F40">
            <v>92500</v>
          </cell>
          <cell r="J40">
            <v>0</v>
          </cell>
          <cell r="K40">
            <v>0</v>
          </cell>
        </row>
        <row r="49">
          <cell r="E49">
            <v>139800</v>
          </cell>
          <cell r="F49">
            <v>0</v>
          </cell>
          <cell r="J49">
            <v>0</v>
          </cell>
          <cell r="K49">
            <v>0</v>
          </cell>
        </row>
        <row r="58">
          <cell r="E58">
            <v>0</v>
          </cell>
          <cell r="F58">
            <v>0</v>
          </cell>
          <cell r="J58">
            <v>0</v>
          </cell>
          <cell r="K58">
            <v>0</v>
          </cell>
        </row>
        <row r="63">
          <cell r="E63">
            <v>449364</v>
          </cell>
          <cell r="F63">
            <v>0</v>
          </cell>
          <cell r="J63">
            <v>0</v>
          </cell>
          <cell r="K63">
            <v>0</v>
          </cell>
        </row>
        <row r="71">
          <cell r="E71">
            <v>0</v>
          </cell>
          <cell r="F71">
            <v>0</v>
          </cell>
          <cell r="J71">
            <v>0</v>
          </cell>
          <cell r="K71">
            <v>0</v>
          </cell>
        </row>
        <row r="76">
          <cell r="E76">
            <v>106720</v>
          </cell>
          <cell r="F76">
            <v>230720</v>
          </cell>
          <cell r="J76">
            <v>0</v>
          </cell>
          <cell r="K76">
            <v>0</v>
          </cell>
        </row>
        <row r="82">
          <cell r="E82">
            <v>383960</v>
          </cell>
          <cell r="F82">
            <v>0</v>
          </cell>
          <cell r="J82">
            <v>0</v>
          </cell>
          <cell r="K82">
            <v>0</v>
          </cell>
        </row>
        <row r="90">
          <cell r="E90">
            <v>357370</v>
          </cell>
          <cell r="F90">
            <v>20000</v>
          </cell>
          <cell r="J90">
            <v>0</v>
          </cell>
          <cell r="K90">
            <v>0</v>
          </cell>
        </row>
      </sheetData>
      <sheetData sheetId="2">
        <row r="10">
          <cell r="E10">
            <v>0</v>
          </cell>
          <cell r="F10">
            <v>0</v>
          </cell>
        </row>
        <row r="11">
          <cell r="F11">
            <v>0</v>
          </cell>
        </row>
        <row r="19">
          <cell r="E19">
            <v>0</v>
          </cell>
          <cell r="F19">
            <v>0</v>
          </cell>
        </row>
        <row r="20">
          <cell r="F20">
            <v>0</v>
          </cell>
        </row>
        <row r="25">
          <cell r="E25">
            <v>0</v>
          </cell>
          <cell r="F25">
            <v>0</v>
          </cell>
        </row>
        <row r="26">
          <cell r="F26">
            <v>0</v>
          </cell>
        </row>
        <row r="31">
          <cell r="E31">
            <v>0</v>
          </cell>
          <cell r="F31">
            <v>0</v>
          </cell>
        </row>
        <row r="32">
          <cell r="F32">
            <v>0</v>
          </cell>
        </row>
        <row r="40">
          <cell r="E40">
            <v>0</v>
          </cell>
          <cell r="F40">
            <v>0</v>
          </cell>
        </row>
        <row r="41">
          <cell r="F41">
            <v>0</v>
          </cell>
        </row>
        <row r="49">
          <cell r="E49">
            <v>0</v>
          </cell>
          <cell r="F49">
            <v>0</v>
          </cell>
        </row>
        <row r="50">
          <cell r="F50">
            <v>0</v>
          </cell>
        </row>
        <row r="58">
          <cell r="E58">
            <v>0</v>
          </cell>
          <cell r="F58">
            <v>0</v>
          </cell>
        </row>
        <row r="59">
          <cell r="F59">
            <v>0</v>
          </cell>
        </row>
        <row r="63">
          <cell r="E63">
            <v>0</v>
          </cell>
          <cell r="F63">
            <v>0</v>
          </cell>
        </row>
        <row r="64">
          <cell r="F64">
            <v>0</v>
          </cell>
        </row>
        <row r="71">
          <cell r="E71">
            <v>0</v>
          </cell>
          <cell r="F71">
            <v>0</v>
          </cell>
        </row>
        <row r="72">
          <cell r="F72">
            <v>0</v>
          </cell>
        </row>
        <row r="76">
          <cell r="E76">
            <v>0</v>
          </cell>
          <cell r="F76">
            <v>0</v>
          </cell>
        </row>
        <row r="77">
          <cell r="F77">
            <v>0</v>
          </cell>
        </row>
        <row r="82">
          <cell r="E82">
            <v>0</v>
          </cell>
          <cell r="F82">
            <v>0</v>
          </cell>
        </row>
        <row r="83">
          <cell r="F83">
            <v>0</v>
          </cell>
        </row>
        <row r="90">
          <cell r="E90">
            <v>0</v>
          </cell>
          <cell r="F90">
            <v>0</v>
          </cell>
        </row>
        <row r="91">
          <cell r="F91">
            <v>0</v>
          </cell>
        </row>
        <row r="98">
          <cell r="E98">
            <v>0</v>
          </cell>
        </row>
      </sheetData>
      <sheetData sheetId="3">
        <row r="8">
          <cell r="B8">
            <v>500000</v>
          </cell>
        </row>
      </sheetData>
      <sheetData sheetId="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data"/>
      <sheetName val="สรุป"/>
      <sheetName val="เรียงตามเขต"/>
      <sheetName val="รายโครงการ"/>
      <sheetName val="เรียงตามยอด%เบิกจ่าย"/>
      <sheetName val="Sheet1"/>
    </sheetNames>
    <sheetDataSet>
      <sheetData sheetId="0" refreshError="1"/>
      <sheetData sheetId="1" refreshError="1"/>
      <sheetData sheetId="2">
        <row r="3">
          <cell r="A3" t="str">
            <v xml:space="preserve">ณ วันที่  31 ธันวาคม 2565 </v>
          </cell>
        </row>
      </sheetData>
      <sheetData sheetId="3">
        <row r="8">
          <cell r="G8">
            <v>602630</v>
          </cell>
          <cell r="H8">
            <v>0</v>
          </cell>
          <cell r="I8">
            <v>135800</v>
          </cell>
          <cell r="J8">
            <v>466830</v>
          </cell>
        </row>
        <row r="9">
          <cell r="G9">
            <v>417960</v>
          </cell>
          <cell r="I9">
            <v>135800</v>
          </cell>
        </row>
        <row r="10">
          <cell r="G10">
            <v>15000</v>
          </cell>
        </row>
        <row r="13">
          <cell r="G13">
            <v>169670</v>
          </cell>
        </row>
        <row r="17">
          <cell r="G17">
            <v>54000</v>
          </cell>
          <cell r="H17">
            <v>0</v>
          </cell>
          <cell r="I17">
            <v>0</v>
          </cell>
          <cell r="J17">
            <v>54000</v>
          </cell>
        </row>
        <row r="19">
          <cell r="G19">
            <v>54000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8">
          <cell r="G38">
            <v>130520</v>
          </cell>
          <cell r="H38">
            <v>0</v>
          </cell>
          <cell r="I38">
            <v>0</v>
          </cell>
          <cell r="J38">
            <v>130520</v>
          </cell>
        </row>
        <row r="40">
          <cell r="G40">
            <v>38020</v>
          </cell>
        </row>
        <row r="43">
          <cell r="G43">
            <v>92500</v>
          </cell>
        </row>
        <row r="47">
          <cell r="G47">
            <v>139800</v>
          </cell>
          <cell r="H47">
            <v>0</v>
          </cell>
          <cell r="I47">
            <v>0</v>
          </cell>
          <cell r="J47">
            <v>139800</v>
          </cell>
        </row>
        <row r="55">
          <cell r="G55">
            <v>139800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61">
          <cell r="G61">
            <v>449364</v>
          </cell>
          <cell r="H61">
            <v>0</v>
          </cell>
          <cell r="I61">
            <v>158466.94</v>
          </cell>
          <cell r="J61">
            <v>290897.06</v>
          </cell>
        </row>
        <row r="63">
          <cell r="G63">
            <v>90000</v>
          </cell>
          <cell r="I63">
            <v>34500</v>
          </cell>
        </row>
        <row r="64">
          <cell r="G64">
            <v>81464</v>
          </cell>
          <cell r="I64">
            <v>26166.94</v>
          </cell>
        </row>
        <row r="67">
          <cell r="G67">
            <v>184300</v>
          </cell>
          <cell r="I67">
            <v>79800</v>
          </cell>
        </row>
        <row r="68">
          <cell r="G68">
            <v>93600</v>
          </cell>
          <cell r="I68">
            <v>18000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4">
          <cell r="G74">
            <v>337440</v>
          </cell>
          <cell r="H74">
            <v>7800</v>
          </cell>
          <cell r="I74">
            <v>36243.589999999997</v>
          </cell>
          <cell r="J74">
            <v>293396.41000000003</v>
          </cell>
        </row>
        <row r="76">
          <cell r="G76">
            <v>230720</v>
          </cell>
          <cell r="H76">
            <v>7800</v>
          </cell>
          <cell r="I76">
            <v>4243.59</v>
          </cell>
        </row>
        <row r="79">
          <cell r="G79">
            <v>106720</v>
          </cell>
          <cell r="I79">
            <v>32000</v>
          </cell>
        </row>
        <row r="80">
          <cell r="G80">
            <v>383960</v>
          </cell>
          <cell r="H80">
            <v>0</v>
          </cell>
          <cell r="I80">
            <v>0</v>
          </cell>
          <cell r="J80">
            <v>383960</v>
          </cell>
        </row>
        <row r="82">
          <cell r="G82">
            <v>118000</v>
          </cell>
        </row>
        <row r="85">
          <cell r="G85">
            <v>131000</v>
          </cell>
        </row>
        <row r="86">
          <cell r="G86">
            <v>134960</v>
          </cell>
        </row>
        <row r="88">
          <cell r="G88">
            <v>377370</v>
          </cell>
          <cell r="H88">
            <v>0</v>
          </cell>
          <cell r="I88">
            <v>34902.79</v>
          </cell>
          <cell r="J88">
            <v>342467.20999999996</v>
          </cell>
        </row>
        <row r="90">
          <cell r="G90">
            <v>112100</v>
          </cell>
          <cell r="I90">
            <v>34902.79</v>
          </cell>
        </row>
        <row r="91">
          <cell r="G91">
            <v>20000</v>
          </cell>
        </row>
        <row r="94">
          <cell r="G94">
            <v>82990</v>
          </cell>
        </row>
        <row r="95">
          <cell r="G95">
            <v>162280</v>
          </cell>
        </row>
        <row r="96">
          <cell r="G96">
            <v>600000</v>
          </cell>
          <cell r="H96">
            <v>0</v>
          </cell>
          <cell r="I96">
            <v>0</v>
          </cell>
          <cell r="J96">
            <v>600000</v>
          </cell>
        </row>
        <row r="97">
          <cell r="G97">
            <v>600000</v>
          </cell>
        </row>
        <row r="101">
          <cell r="G101">
            <v>0</v>
          </cell>
          <cell r="I101">
            <v>0</v>
          </cell>
          <cell r="J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G118">
            <v>0</v>
          </cell>
          <cell r="J118">
            <v>0</v>
          </cell>
        </row>
        <row r="119">
          <cell r="G119">
            <v>400000</v>
          </cell>
          <cell r="J119">
            <v>400000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G123">
            <v>500000</v>
          </cell>
          <cell r="J123">
            <v>500000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กันแบบมีหนี้"/>
      <sheetName val="สรุป (ใหม่)"/>
      <sheetName val="30 กย.65"/>
      <sheetName val="งบดำเนินงาน+ลงทุน อย."/>
      <sheetName val="งบดำเนินงาน+ลงทุน อย. (เพิ่ม)"/>
      <sheetName val="31 ธค.65"/>
      <sheetName val="31 ธค.65 (2)"/>
    </sheetNames>
    <sheetDataSet>
      <sheetData sheetId="0"/>
      <sheetData sheetId="1">
        <row r="3">
          <cell r="A3" t="str">
            <v>ณ วันที่ 31 ธันวาคม 2565</v>
          </cell>
        </row>
      </sheetData>
      <sheetData sheetId="2"/>
      <sheetData sheetId="3"/>
      <sheetData sheetId="4"/>
      <sheetData sheetId="5">
        <row r="7">
          <cell r="E7">
            <v>619434</v>
          </cell>
        </row>
        <row r="9">
          <cell r="E9">
            <v>84</v>
          </cell>
        </row>
        <row r="11">
          <cell r="E11">
            <v>171.04</v>
          </cell>
        </row>
        <row r="15">
          <cell r="E15">
            <v>945784</v>
          </cell>
        </row>
        <row r="17">
          <cell r="E17">
            <v>10187000</v>
          </cell>
        </row>
        <row r="26">
          <cell r="E26">
            <v>85354332.799999997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กยผ"/>
      <sheetName val="สรุป"/>
      <sheetName val="ผ1ผ1-1.1"/>
      <sheetName val="ผ2ผ1 -1.3"/>
      <sheetName val="ผ2ผ1-งบกลาง"/>
      <sheetName val="ผ3ผ1-1.1"/>
    </sheetNames>
    <sheetDataSet>
      <sheetData sheetId="0"/>
      <sheetData sheetId="1">
        <row r="4">
          <cell r="B4">
            <v>72000</v>
          </cell>
          <cell r="C4">
            <v>36000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36000</v>
          </cell>
          <cell r="M4">
            <v>0</v>
          </cell>
          <cell r="N4">
            <v>0</v>
          </cell>
          <cell r="O4">
            <v>0</v>
          </cell>
          <cell r="P4">
            <v>18000</v>
          </cell>
          <cell r="Q4">
            <v>18000</v>
          </cell>
          <cell r="R4">
            <v>54000</v>
          </cell>
        </row>
        <row r="7">
          <cell r="B7">
            <v>17257445</v>
          </cell>
          <cell r="C7">
            <v>8749665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17257445</v>
          </cell>
          <cell r="L7">
            <v>8749665</v>
          </cell>
          <cell r="M7">
            <v>0</v>
          </cell>
          <cell r="N7">
            <v>65065</v>
          </cell>
          <cell r="O7">
            <v>51386.29</v>
          </cell>
          <cell r="P7">
            <v>1783685.07</v>
          </cell>
          <cell r="Q7">
            <v>6849528.6400000006</v>
          </cell>
          <cell r="R7">
            <v>15357308.640000001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>
            <v>1000000</v>
          </cell>
          <cell r="C11">
            <v>500000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1000000</v>
          </cell>
          <cell r="L11">
            <v>500000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500000</v>
          </cell>
          <cell r="R11">
            <v>1000000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กม.อย"/>
      <sheetName val="สรุป"/>
      <sheetName val="ผ1ผ1-1.1"/>
      <sheetName val="ผ2ผ1 -1.1"/>
      <sheetName val="ผ2ผ1-งบกลาง"/>
    </sheetNames>
    <sheetDataSet>
      <sheetData sheetId="0"/>
      <sheetData sheetId="1">
        <row r="4">
          <cell r="B4">
            <v>72000</v>
          </cell>
          <cell r="C4">
            <v>36000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36000</v>
          </cell>
          <cell r="M4">
            <v>0</v>
          </cell>
          <cell r="N4">
            <v>16800</v>
          </cell>
          <cell r="O4">
            <v>0</v>
          </cell>
          <cell r="P4">
            <v>5600</v>
          </cell>
          <cell r="Q4">
            <v>13600</v>
          </cell>
          <cell r="R4">
            <v>49600</v>
          </cell>
        </row>
        <row r="7">
          <cell r="B7">
            <v>629600</v>
          </cell>
          <cell r="C7">
            <v>314800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629600</v>
          </cell>
          <cell r="L7">
            <v>314800</v>
          </cell>
          <cell r="M7">
            <v>0</v>
          </cell>
          <cell r="N7">
            <v>0</v>
          </cell>
          <cell r="O7">
            <v>0</v>
          </cell>
          <cell r="P7">
            <v>162115.90000000002</v>
          </cell>
          <cell r="Q7">
            <v>152684.09999999998</v>
          </cell>
          <cell r="R7">
            <v>467484.1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พ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/>
      <sheetData sheetId="1">
        <row r="4">
          <cell r="B4">
            <v>42000</v>
          </cell>
          <cell r="C4">
            <v>21000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42000</v>
          </cell>
          <cell r="L4">
            <v>21000</v>
          </cell>
          <cell r="M4">
            <v>0</v>
          </cell>
          <cell r="N4">
            <v>0</v>
          </cell>
          <cell r="O4">
            <v>0</v>
          </cell>
          <cell r="P4">
            <v>7000</v>
          </cell>
          <cell r="Q4">
            <v>14000</v>
          </cell>
          <cell r="R4">
            <v>35000</v>
          </cell>
        </row>
        <row r="7">
          <cell r="B7">
            <v>2572980</v>
          </cell>
          <cell r="C7">
            <v>1570280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2572980</v>
          </cell>
          <cell r="L7">
            <v>1570280</v>
          </cell>
          <cell r="M7">
            <v>0</v>
          </cell>
          <cell r="N7">
            <v>47340</v>
          </cell>
          <cell r="O7">
            <v>32027.05</v>
          </cell>
          <cell r="P7">
            <v>753880</v>
          </cell>
          <cell r="Q7">
            <v>737032.95</v>
          </cell>
          <cell r="R7">
            <v>1739732.95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382500</v>
          </cell>
          <cell r="H13">
            <v>0</v>
          </cell>
          <cell r="I13">
            <v>0</v>
          </cell>
          <cell r="J13">
            <v>0</v>
          </cell>
          <cell r="K13">
            <v>382500</v>
          </cell>
          <cell r="L13">
            <v>382500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382500</v>
          </cell>
          <cell r="R13">
            <v>382500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ยา"/>
      <sheetName val="สรุป"/>
      <sheetName val="ผ1ผ1-1.1"/>
      <sheetName val="ผ2ผ1-1.1"/>
      <sheetName val="ผ2ผ1-1.2"/>
      <sheetName val="ผ2ผ1 -1.3"/>
      <sheetName val="ผ2ผ1-1.4"/>
      <sheetName val="ผ2ผ1-งบกลาง"/>
      <sheetName val="ผ3ผ1-1.1"/>
    </sheetNames>
    <sheetDataSet>
      <sheetData sheetId="0"/>
      <sheetData sheetId="1">
        <row r="4">
          <cell r="B4">
            <v>276000</v>
          </cell>
          <cell r="C4">
            <v>138000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276000</v>
          </cell>
          <cell r="L4">
            <v>138000</v>
          </cell>
          <cell r="M4">
            <v>0</v>
          </cell>
          <cell r="N4">
            <v>0</v>
          </cell>
          <cell r="O4">
            <v>0</v>
          </cell>
          <cell r="P4">
            <v>40700</v>
          </cell>
          <cell r="Q4">
            <v>97300</v>
          </cell>
          <cell r="R4">
            <v>235300</v>
          </cell>
        </row>
        <row r="7">
          <cell r="B7">
            <v>8212570</v>
          </cell>
          <cell r="C7">
            <v>4771320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8212570</v>
          </cell>
          <cell r="L7">
            <v>4771320</v>
          </cell>
          <cell r="M7">
            <v>0</v>
          </cell>
          <cell r="N7">
            <v>9710</v>
          </cell>
          <cell r="O7">
            <v>242366.34</v>
          </cell>
          <cell r="P7">
            <v>1795551.48</v>
          </cell>
          <cell r="Q7">
            <v>2723692.18</v>
          </cell>
          <cell r="R7">
            <v>6164942.1799999997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B14">
            <v>10406600</v>
          </cell>
          <cell r="C14">
            <v>5203300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10406600</v>
          </cell>
          <cell r="L14">
            <v>5203300</v>
          </cell>
          <cell r="M14">
            <v>0</v>
          </cell>
          <cell r="N14">
            <v>0</v>
          </cell>
          <cell r="O14">
            <v>0</v>
          </cell>
          <cell r="P14">
            <v>13000</v>
          </cell>
          <cell r="Q14">
            <v>5190300</v>
          </cell>
          <cell r="R14">
            <v>10393600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ต"/>
      <sheetName val="สรุป"/>
      <sheetName val="ผ1ผ1-1.1"/>
      <sheetName val="ผ2ผ1-1.1"/>
      <sheetName val="ผ2ผ1-1.2"/>
      <sheetName val="ผ2ผ1 -1.3"/>
      <sheetName val="ผ2ผ1-1.4"/>
      <sheetName val="ผ2ผ1-งบกลาง"/>
      <sheetName val="ผ4ผ1-1.1"/>
    </sheetNames>
    <sheetDataSet>
      <sheetData sheetId="0"/>
      <sheetData sheetId="1">
        <row r="4">
          <cell r="B4">
            <v>72000</v>
          </cell>
          <cell r="C4">
            <v>36000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36000</v>
          </cell>
          <cell r="M4">
            <v>0</v>
          </cell>
          <cell r="N4">
            <v>0</v>
          </cell>
          <cell r="O4">
            <v>0</v>
          </cell>
          <cell r="P4">
            <v>17700</v>
          </cell>
          <cell r="Q4">
            <v>18300</v>
          </cell>
          <cell r="R4">
            <v>54300</v>
          </cell>
        </row>
        <row r="7">
          <cell r="B7">
            <v>2250460</v>
          </cell>
          <cell r="C7">
            <v>1267710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2250460</v>
          </cell>
          <cell r="L7">
            <v>1267710</v>
          </cell>
          <cell r="M7">
            <v>0</v>
          </cell>
          <cell r="N7">
            <v>1787</v>
          </cell>
          <cell r="O7">
            <v>0</v>
          </cell>
          <cell r="P7">
            <v>484585.64</v>
          </cell>
          <cell r="Q7">
            <v>781337.36</v>
          </cell>
          <cell r="R7">
            <v>1764087.3599999999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4">
          <cell r="B14">
            <v>8407500</v>
          </cell>
          <cell r="C14">
            <v>4203750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8407500</v>
          </cell>
          <cell r="L14">
            <v>4203750</v>
          </cell>
          <cell r="M14">
            <v>0</v>
          </cell>
          <cell r="N14">
            <v>47306.5</v>
          </cell>
          <cell r="O14">
            <v>0</v>
          </cell>
          <cell r="P14">
            <v>1342112</v>
          </cell>
          <cell r="Q14">
            <v>2814331.5</v>
          </cell>
          <cell r="R14">
            <v>7018081.5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อาหาร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/>
      <sheetData sheetId="1">
        <row r="4">
          <cell r="B4">
            <v>144000</v>
          </cell>
          <cell r="C4">
            <v>72000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144000</v>
          </cell>
          <cell r="L4">
            <v>72000</v>
          </cell>
          <cell r="M4">
            <v>0</v>
          </cell>
          <cell r="N4">
            <v>0</v>
          </cell>
          <cell r="O4">
            <v>0</v>
          </cell>
          <cell r="P4">
            <v>18000</v>
          </cell>
          <cell r="Q4">
            <v>54000</v>
          </cell>
          <cell r="R4">
            <v>126000</v>
          </cell>
        </row>
        <row r="7">
          <cell r="B7">
            <v>7047110</v>
          </cell>
          <cell r="C7">
            <v>4442710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-15000</v>
          </cell>
          <cell r="K7">
            <v>7032110</v>
          </cell>
          <cell r="L7">
            <v>4427710</v>
          </cell>
          <cell r="M7">
            <v>0</v>
          </cell>
          <cell r="N7">
            <v>83202</v>
          </cell>
          <cell r="O7">
            <v>82627.3</v>
          </cell>
          <cell r="P7">
            <v>2472823.19</v>
          </cell>
          <cell r="Q7">
            <v>1789057.5100000002</v>
          </cell>
          <cell r="R7">
            <v>4393457.51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384000</v>
          </cell>
          <cell r="H13">
            <v>0</v>
          </cell>
          <cell r="I13">
            <v>0</v>
          </cell>
          <cell r="J13">
            <v>0</v>
          </cell>
          <cell r="K13">
            <v>384000</v>
          </cell>
          <cell r="L13">
            <v>384000</v>
          </cell>
          <cell r="M13">
            <v>0</v>
          </cell>
          <cell r="N13">
            <v>0</v>
          </cell>
          <cell r="O13">
            <v>0</v>
          </cell>
          <cell r="P13">
            <v>51470</v>
          </cell>
          <cell r="Q13">
            <v>332530</v>
          </cell>
          <cell r="R13">
            <v>332530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ด่าน"/>
      <sheetName val="สรุป"/>
      <sheetName val="ผ1ผ1-1.1"/>
      <sheetName val="ผ2ผ1 -1.3"/>
      <sheetName val="ผ2ผ1-งบกลาง"/>
      <sheetName val="ผ3ผ1-1.1"/>
      <sheetName val="ผ4ผ1-1.1"/>
    </sheetNames>
    <sheetDataSet>
      <sheetData sheetId="0"/>
      <sheetData sheetId="1">
        <row r="4">
          <cell r="B4">
            <v>451200</v>
          </cell>
          <cell r="C4">
            <v>225600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451200</v>
          </cell>
          <cell r="L4">
            <v>225600</v>
          </cell>
          <cell r="M4">
            <v>0</v>
          </cell>
          <cell r="N4">
            <v>6000</v>
          </cell>
          <cell r="O4">
            <v>0</v>
          </cell>
          <cell r="P4">
            <v>94800</v>
          </cell>
          <cell r="Q4">
            <v>124800</v>
          </cell>
          <cell r="R4">
            <v>350400</v>
          </cell>
        </row>
        <row r="7">
          <cell r="B7">
            <v>5298000</v>
          </cell>
          <cell r="C7">
            <v>2649000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-358220</v>
          </cell>
          <cell r="J7">
            <v>0</v>
          </cell>
          <cell r="K7">
            <v>4939780</v>
          </cell>
          <cell r="L7">
            <v>2290780</v>
          </cell>
          <cell r="M7">
            <v>0</v>
          </cell>
          <cell r="N7">
            <v>21050</v>
          </cell>
          <cell r="O7">
            <v>9828.3799999999992</v>
          </cell>
          <cell r="P7">
            <v>980566.38999999978</v>
          </cell>
          <cell r="Q7">
            <v>1279335.2300000004</v>
          </cell>
          <cell r="R7">
            <v>3928335.2300000004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>
            <v>34098900</v>
          </cell>
          <cell r="C11">
            <v>17049450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34098900</v>
          </cell>
          <cell r="L11">
            <v>17049450</v>
          </cell>
          <cell r="M11">
            <v>0</v>
          </cell>
          <cell r="N11">
            <v>65700</v>
          </cell>
          <cell r="O11">
            <v>132680</v>
          </cell>
          <cell r="P11">
            <v>1394277.0299999998</v>
          </cell>
          <cell r="Q11">
            <v>15456792.970000001</v>
          </cell>
          <cell r="R11">
            <v>32506242.969999999</v>
          </cell>
        </row>
        <row r="13">
          <cell r="B13">
            <v>12292500</v>
          </cell>
          <cell r="C13">
            <v>6146250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-2116864</v>
          </cell>
          <cell r="J13">
            <v>0</v>
          </cell>
          <cell r="K13">
            <v>10175636</v>
          </cell>
          <cell r="L13">
            <v>4029386</v>
          </cell>
          <cell r="M13">
            <v>0</v>
          </cell>
          <cell r="N13">
            <v>0</v>
          </cell>
          <cell r="O13">
            <v>0</v>
          </cell>
          <cell r="P13">
            <v>1629840</v>
          </cell>
          <cell r="Q13">
            <v>2399546</v>
          </cell>
          <cell r="R13">
            <v>8545796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2:R144"/>
  <sheetViews>
    <sheetView zoomScaleNormal="100" workbookViewId="0">
      <pane xSplit="1" ySplit="2" topLeftCell="B126" activePane="bottomRight" state="frozen"/>
      <selection pane="topRight" activeCell="B1" sqref="B1"/>
      <selection pane="bottomLeft" activeCell="A3" sqref="A3"/>
      <selection pane="bottomRight" activeCell="I136" sqref="I136"/>
    </sheetView>
  </sheetViews>
  <sheetFormatPr defaultColWidth="9" defaultRowHeight="21"/>
  <cols>
    <col min="1" max="1" width="51.875" style="17" bestFit="1" customWidth="1"/>
    <col min="2" max="3" width="14.75" style="17" bestFit="1" customWidth="1"/>
    <col min="4" max="5" width="6" style="17" bestFit="1" customWidth="1"/>
    <col min="6" max="6" width="14.75" style="17" bestFit="1" customWidth="1"/>
    <col min="7" max="7" width="13.25" style="17" bestFit="1" customWidth="1"/>
    <col min="8" max="8" width="13.5" style="17" bestFit="1" customWidth="1"/>
    <col min="9" max="9" width="12.625" style="17" bestFit="1" customWidth="1"/>
    <col min="10" max="10" width="17.5" style="17" bestFit="1" customWidth="1"/>
    <col min="11" max="12" width="14.75" style="17" bestFit="1" customWidth="1"/>
    <col min="13" max="13" width="15.875" style="17" customWidth="1"/>
    <col min="14" max="14" width="14.75" style="17" customWidth="1"/>
    <col min="15" max="15" width="15.625" style="17" customWidth="1"/>
    <col min="16" max="16" width="14.125" style="17" customWidth="1"/>
    <col min="17" max="17" width="17.25" style="17" customWidth="1"/>
    <col min="18" max="18" width="17.75" style="17" customWidth="1"/>
    <col min="19" max="16384" width="9" style="17"/>
  </cols>
  <sheetData>
    <row r="2" spans="1:18" ht="42">
      <c r="A2" s="6" t="s">
        <v>56</v>
      </c>
      <c r="B2" s="7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10" t="s">
        <v>99</v>
      </c>
      <c r="H2" s="10" t="s">
        <v>100</v>
      </c>
      <c r="I2" s="10" t="s">
        <v>101</v>
      </c>
      <c r="J2" s="10" t="s">
        <v>102</v>
      </c>
      <c r="K2" s="11" t="s">
        <v>103</v>
      </c>
      <c r="L2" s="11" t="s">
        <v>104</v>
      </c>
      <c r="M2" s="12" t="s">
        <v>5</v>
      </c>
      <c r="N2" s="13" t="s">
        <v>6</v>
      </c>
      <c r="O2" s="14" t="s">
        <v>7</v>
      </c>
      <c r="P2" s="15" t="s">
        <v>8</v>
      </c>
      <c r="Q2" s="8" t="s">
        <v>9</v>
      </c>
      <c r="R2" s="16" t="s">
        <v>10</v>
      </c>
    </row>
    <row r="3" spans="1:18">
      <c r="A3" s="244" t="s">
        <v>11</v>
      </c>
      <c r="B3" s="18">
        <f t="shared" ref="B3:R3" si="0">+B4+B27+B126+B132+B139</f>
        <v>295660000</v>
      </c>
      <c r="C3" s="18">
        <f t="shared" si="0"/>
        <v>147829900</v>
      </c>
      <c r="D3" s="18">
        <f t="shared" si="0"/>
        <v>0</v>
      </c>
      <c r="E3" s="18">
        <f t="shared" si="0"/>
        <v>0</v>
      </c>
      <c r="F3" s="18">
        <f t="shared" si="0"/>
        <v>147829900</v>
      </c>
      <c r="G3" s="18">
        <f t="shared" si="0"/>
        <v>0</v>
      </c>
      <c r="H3" s="18">
        <f t="shared" si="0"/>
        <v>0</v>
      </c>
      <c r="I3" s="18">
        <f t="shared" si="0"/>
        <v>-3375084</v>
      </c>
      <c r="J3" s="18">
        <f t="shared" si="0"/>
        <v>-15000</v>
      </c>
      <c r="K3" s="18">
        <f t="shared" si="0"/>
        <v>292269916</v>
      </c>
      <c r="L3" s="18">
        <f t="shared" si="0"/>
        <v>144439816</v>
      </c>
      <c r="M3" s="18">
        <f t="shared" si="0"/>
        <v>302249</v>
      </c>
      <c r="N3" s="18">
        <f t="shared" si="0"/>
        <v>1676391.62</v>
      </c>
      <c r="O3" s="18">
        <f t="shared" si="0"/>
        <v>1155290.8500000001</v>
      </c>
      <c r="P3" s="18">
        <f t="shared" si="0"/>
        <v>36252755.640000001</v>
      </c>
      <c r="Q3" s="18">
        <f t="shared" si="0"/>
        <v>105053128.89</v>
      </c>
      <c r="R3" s="18">
        <f t="shared" si="0"/>
        <v>252883228.89000005</v>
      </c>
    </row>
    <row r="4" spans="1:18">
      <c r="A4" s="19" t="s">
        <v>12</v>
      </c>
      <c r="B4" s="20">
        <f t="shared" ref="B4:R4" si="1">SUM(B5,B20:B25)</f>
        <v>24429600</v>
      </c>
      <c r="C4" s="20">
        <f t="shared" si="1"/>
        <v>12214800</v>
      </c>
      <c r="D4" s="20">
        <f t="shared" si="1"/>
        <v>0</v>
      </c>
      <c r="E4" s="20">
        <f t="shared" si="1"/>
        <v>0</v>
      </c>
      <c r="F4" s="20">
        <f t="shared" si="1"/>
        <v>12214800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24429600</v>
      </c>
      <c r="L4" s="20">
        <f t="shared" si="1"/>
        <v>12214800</v>
      </c>
      <c r="M4" s="20">
        <f t="shared" si="1"/>
        <v>0</v>
      </c>
      <c r="N4" s="20">
        <f t="shared" si="1"/>
        <v>28800</v>
      </c>
      <c r="O4" s="20">
        <f t="shared" si="1"/>
        <v>0</v>
      </c>
      <c r="P4" s="20">
        <f t="shared" si="1"/>
        <v>5386723.2199999997</v>
      </c>
      <c r="Q4" s="20">
        <f t="shared" si="1"/>
        <v>6799276.7800000003</v>
      </c>
      <c r="R4" s="20">
        <f t="shared" si="1"/>
        <v>19014076.780000001</v>
      </c>
    </row>
    <row r="5" spans="1:18" s="23" customFormat="1">
      <c r="A5" s="21" t="s">
        <v>59</v>
      </c>
      <c r="B5" s="22">
        <f t="shared" ref="B5:R5" si="2">SUM(B6:B19)</f>
        <v>1840800</v>
      </c>
      <c r="C5" s="22">
        <f t="shared" si="2"/>
        <v>920400</v>
      </c>
      <c r="D5" s="22">
        <f t="shared" si="2"/>
        <v>0</v>
      </c>
      <c r="E5" s="22">
        <f t="shared" si="2"/>
        <v>0</v>
      </c>
      <c r="F5" s="22">
        <f t="shared" si="2"/>
        <v>920400</v>
      </c>
      <c r="G5" s="22">
        <f t="shared" si="2"/>
        <v>0</v>
      </c>
      <c r="H5" s="22">
        <f t="shared" si="2"/>
        <v>0</v>
      </c>
      <c r="I5" s="22">
        <f t="shared" si="2"/>
        <v>0</v>
      </c>
      <c r="J5" s="22">
        <f t="shared" si="2"/>
        <v>0</v>
      </c>
      <c r="K5" s="22">
        <f t="shared" si="2"/>
        <v>1840800</v>
      </c>
      <c r="L5" s="22">
        <f t="shared" si="2"/>
        <v>920400</v>
      </c>
      <c r="M5" s="22">
        <f t="shared" si="2"/>
        <v>0</v>
      </c>
      <c r="N5" s="22">
        <f t="shared" si="2"/>
        <v>28800</v>
      </c>
      <c r="O5" s="22">
        <f t="shared" si="2"/>
        <v>0</v>
      </c>
      <c r="P5" s="22">
        <f t="shared" si="2"/>
        <v>301700</v>
      </c>
      <c r="Q5" s="22">
        <f t="shared" si="2"/>
        <v>589900</v>
      </c>
      <c r="R5" s="22">
        <f t="shared" si="2"/>
        <v>1510300</v>
      </c>
    </row>
    <row r="6" spans="1:18">
      <c r="A6" s="24" t="s">
        <v>415</v>
      </c>
      <c r="B6" s="25">
        <f>+[1]สรุป!$B$5</f>
        <v>216000</v>
      </c>
      <c r="C6" s="25">
        <f>+[1]สรุป!$C$5</f>
        <v>108000</v>
      </c>
      <c r="D6" s="25">
        <f>+[1]สรุป!$D$5</f>
        <v>0</v>
      </c>
      <c r="E6" s="25">
        <f>+[1]สรุป!$E$5</f>
        <v>0</v>
      </c>
      <c r="F6" s="25">
        <f>SUM(C6:E6)</f>
        <v>108000</v>
      </c>
      <c r="G6" s="25">
        <f>+[1]สรุป!$G$5</f>
        <v>0</v>
      </c>
      <c r="H6" s="25">
        <f>+[1]สรุป!$H$5</f>
        <v>0</v>
      </c>
      <c r="I6" s="25">
        <f>+[1]สรุป!$I$5</f>
        <v>0</v>
      </c>
      <c r="J6" s="25">
        <f>+[1]สรุป!$J$5</f>
        <v>0</v>
      </c>
      <c r="K6" s="25">
        <f>+[1]สรุป!$K$5</f>
        <v>216000</v>
      </c>
      <c r="L6" s="25">
        <f>+[1]สรุป!L$5</f>
        <v>108000</v>
      </c>
      <c r="M6" s="25">
        <f>+[1]สรุป!$M$5</f>
        <v>0</v>
      </c>
      <c r="N6" s="25">
        <f>+[1]สรุป!$N$5</f>
        <v>6000</v>
      </c>
      <c r="O6" s="25">
        <f>+[1]สรุป!$O$5</f>
        <v>0</v>
      </c>
      <c r="P6" s="25">
        <f>+[1]สรุป!$P$5</f>
        <v>12000</v>
      </c>
      <c r="Q6" s="25">
        <f>+[1]สรุป!Q$5</f>
        <v>90000</v>
      </c>
      <c r="R6" s="25">
        <f>+[1]สรุป!R$5</f>
        <v>198000</v>
      </c>
    </row>
    <row r="7" spans="1:18">
      <c r="A7" s="24" t="s">
        <v>416</v>
      </c>
      <c r="B7" s="25">
        <f>+[2]สรุป!$B$4</f>
        <v>0</v>
      </c>
      <c r="C7" s="25">
        <f>+[2]สรุป!$C$4</f>
        <v>0</v>
      </c>
      <c r="D7" s="25">
        <f>+[2]สรุป!$D$4</f>
        <v>0</v>
      </c>
      <c r="E7" s="25">
        <f>+[2]สรุป!$E$4</f>
        <v>0</v>
      </c>
      <c r="F7" s="25">
        <f t="shared" ref="F7:F25" si="3">SUM(C7:E7)</f>
        <v>0</v>
      </c>
      <c r="G7" s="25">
        <f>+[2]สรุป!$G$4</f>
        <v>0</v>
      </c>
      <c r="H7" s="25">
        <f>+[2]สรุป!$H$4</f>
        <v>0</v>
      </c>
      <c r="I7" s="25">
        <f>+[2]สรุป!$I$4</f>
        <v>0</v>
      </c>
      <c r="J7" s="25">
        <f>+[2]สรุป!$J$4</f>
        <v>0</v>
      </c>
      <c r="K7" s="25">
        <f>+[2]สรุป!$K$4</f>
        <v>0</v>
      </c>
      <c r="L7" s="25">
        <f>+[2]สรุป!L4</f>
        <v>0</v>
      </c>
      <c r="M7" s="25">
        <f>+[2]สรุป!$M$4</f>
        <v>0</v>
      </c>
      <c r="N7" s="25">
        <f>+[2]สรุป!$N$4</f>
        <v>0</v>
      </c>
      <c r="O7" s="25">
        <f>+[2]สรุป!$O$4</f>
        <v>0</v>
      </c>
      <c r="P7" s="25">
        <f>+[2]สรุป!$P$4</f>
        <v>0</v>
      </c>
      <c r="Q7" s="25">
        <f>+[2]สรุป!Q4</f>
        <v>0</v>
      </c>
      <c r="R7" s="25">
        <f>+[2]สรุป!R4</f>
        <v>0</v>
      </c>
    </row>
    <row r="8" spans="1:18">
      <c r="A8" s="24" t="s">
        <v>424</v>
      </c>
      <c r="B8" s="25">
        <f>+[3]สรุป!$B$4</f>
        <v>72000</v>
      </c>
      <c r="C8" s="25">
        <f>+[3]สรุป!$C$4</f>
        <v>36000</v>
      </c>
      <c r="D8" s="25">
        <f>+[3]สรุป!$D$4</f>
        <v>0</v>
      </c>
      <c r="E8" s="25">
        <f>+[3]สรุป!$E$4</f>
        <v>0</v>
      </c>
      <c r="F8" s="25">
        <f t="shared" ref="F8:F19" si="4">SUM(C8:E8)</f>
        <v>36000</v>
      </c>
      <c r="G8" s="25">
        <f>+[3]สรุป!$G$4</f>
        <v>0</v>
      </c>
      <c r="H8" s="25">
        <f>+[3]สรุป!$H$4</f>
        <v>0</v>
      </c>
      <c r="I8" s="25">
        <f>+[3]สรุป!$I$4</f>
        <v>0</v>
      </c>
      <c r="J8" s="25">
        <f>+[3]สรุป!$J$4</f>
        <v>0</v>
      </c>
      <c r="K8" s="25">
        <f>+[3]สรุป!$K$4</f>
        <v>72000</v>
      </c>
      <c r="L8" s="25">
        <f>+[3]สรุป!L4</f>
        <v>36000</v>
      </c>
      <c r="M8" s="25">
        <f>+[3]สรุป!$M$4</f>
        <v>0</v>
      </c>
      <c r="N8" s="25">
        <f>+[3]สรุป!$N$4</f>
        <v>0</v>
      </c>
      <c r="O8" s="25">
        <f>+[3]สรุป!$O$4</f>
        <v>0</v>
      </c>
      <c r="P8" s="25">
        <f>+[3]สรุป!$P$4</f>
        <v>18000</v>
      </c>
      <c r="Q8" s="25">
        <f>+[3]สรุป!Q4</f>
        <v>18000</v>
      </c>
      <c r="R8" s="25">
        <f>+[3]สรุป!R4</f>
        <v>54000</v>
      </c>
    </row>
    <row r="9" spans="1:18">
      <c r="A9" s="24" t="s">
        <v>428</v>
      </c>
      <c r="B9" s="25">
        <f>+[4]สรุป!$B$4</f>
        <v>72000</v>
      </c>
      <c r="C9" s="25">
        <f>+[4]สรุป!$C$4</f>
        <v>36000</v>
      </c>
      <c r="D9" s="25">
        <f>+[4]สรุป!$D$4</f>
        <v>0</v>
      </c>
      <c r="E9" s="25">
        <f>+[4]สรุป!$E$4</f>
        <v>0</v>
      </c>
      <c r="F9" s="25">
        <f t="shared" si="4"/>
        <v>36000</v>
      </c>
      <c r="G9" s="25">
        <f>+[4]สรุป!$G$4</f>
        <v>0</v>
      </c>
      <c r="H9" s="25">
        <f>+[4]สรุป!$H$4</f>
        <v>0</v>
      </c>
      <c r="I9" s="25">
        <f>+[4]สรุป!$I$4</f>
        <v>0</v>
      </c>
      <c r="J9" s="25">
        <f>+[4]สรุป!$J$4</f>
        <v>0</v>
      </c>
      <c r="K9" s="25">
        <f>+[4]สรุป!$K$4</f>
        <v>72000</v>
      </c>
      <c r="L9" s="25">
        <f>+[4]สรุป!L4</f>
        <v>36000</v>
      </c>
      <c r="M9" s="25">
        <f>+[4]สรุป!$M$4</f>
        <v>0</v>
      </c>
      <c r="N9" s="25">
        <f>+[4]สรุป!$N$4</f>
        <v>16800</v>
      </c>
      <c r="O9" s="25">
        <f>+[4]สรุป!$O$4</f>
        <v>0</v>
      </c>
      <c r="P9" s="25">
        <f>+[4]สรุป!$P$4</f>
        <v>5600</v>
      </c>
      <c r="Q9" s="25">
        <f>+[4]สรุป!Q4</f>
        <v>13600</v>
      </c>
      <c r="R9" s="25">
        <f>+[4]สรุป!R4</f>
        <v>49600</v>
      </c>
    </row>
    <row r="10" spans="1:18">
      <c r="A10" s="24" t="s">
        <v>422</v>
      </c>
      <c r="B10" s="25">
        <f>+[5]สรุป!$B$4</f>
        <v>42000</v>
      </c>
      <c r="C10" s="25">
        <f>+[5]สรุป!$C$4</f>
        <v>21000</v>
      </c>
      <c r="D10" s="25">
        <f>+[5]สรุป!$D$4</f>
        <v>0</v>
      </c>
      <c r="E10" s="25">
        <f>+[5]สรุป!$E$4</f>
        <v>0</v>
      </c>
      <c r="F10" s="25">
        <f t="shared" si="4"/>
        <v>21000</v>
      </c>
      <c r="G10" s="25">
        <f>+[5]สรุป!$G$4</f>
        <v>0</v>
      </c>
      <c r="H10" s="25">
        <f>+[5]สรุป!$H$4</f>
        <v>0</v>
      </c>
      <c r="I10" s="25">
        <f>+[5]สรุป!$I$4</f>
        <v>0</v>
      </c>
      <c r="J10" s="25">
        <f>+[5]สรุป!$J$4</f>
        <v>0</v>
      </c>
      <c r="K10" s="25">
        <f>+[5]สรุป!$K$4</f>
        <v>42000</v>
      </c>
      <c r="L10" s="25">
        <f>+[5]สรุป!L4</f>
        <v>21000</v>
      </c>
      <c r="M10" s="25">
        <f>+[5]สรุป!$M$4</f>
        <v>0</v>
      </c>
      <c r="N10" s="25">
        <f>+[5]สรุป!$N$4</f>
        <v>0</v>
      </c>
      <c r="O10" s="25">
        <f>+[5]สรุป!$O$4</f>
        <v>0</v>
      </c>
      <c r="P10" s="25">
        <f>+[5]สรุป!$P$4</f>
        <v>7000</v>
      </c>
      <c r="Q10" s="25">
        <f>+[5]สรุป!Q4</f>
        <v>14000</v>
      </c>
      <c r="R10" s="25">
        <f>+[5]สรุป!R4</f>
        <v>35000</v>
      </c>
    </row>
    <row r="11" spans="1:18">
      <c r="A11" s="24" t="s">
        <v>417</v>
      </c>
      <c r="B11" s="25">
        <f>+[6]สรุป!$B$4</f>
        <v>276000</v>
      </c>
      <c r="C11" s="25">
        <f>+[6]สรุป!$C$4</f>
        <v>138000</v>
      </c>
      <c r="D11" s="25">
        <f>+[6]สรุป!$D$4</f>
        <v>0</v>
      </c>
      <c r="E11" s="25">
        <f>+[6]สรุป!$E$4</f>
        <v>0</v>
      </c>
      <c r="F11" s="25">
        <f t="shared" si="4"/>
        <v>138000</v>
      </c>
      <c r="G11" s="25">
        <f>+[6]สรุป!$G$4</f>
        <v>0</v>
      </c>
      <c r="H11" s="25">
        <f>+[6]สรุป!$H$4</f>
        <v>0</v>
      </c>
      <c r="I11" s="25">
        <f>+[6]สรุป!$I$4</f>
        <v>0</v>
      </c>
      <c r="J11" s="25">
        <f>+[6]สรุป!$J$4</f>
        <v>0</v>
      </c>
      <c r="K11" s="25">
        <f>+[6]สรุป!$K$4</f>
        <v>276000</v>
      </c>
      <c r="L11" s="25">
        <f>+[6]สรุป!L4</f>
        <v>138000</v>
      </c>
      <c r="M11" s="25">
        <f>+[6]สรุป!$M$4</f>
        <v>0</v>
      </c>
      <c r="N11" s="25">
        <f>+[6]สรุป!$N$4</f>
        <v>0</v>
      </c>
      <c r="O11" s="25">
        <f>+[6]สรุป!$O$4</f>
        <v>0</v>
      </c>
      <c r="P11" s="25">
        <f>+[6]สรุป!$P$4</f>
        <v>40700</v>
      </c>
      <c r="Q11" s="25">
        <f>+[6]สรุป!Q4</f>
        <v>97300</v>
      </c>
      <c r="R11" s="25">
        <f>+[6]สรุป!R4</f>
        <v>235300</v>
      </c>
    </row>
    <row r="12" spans="1:18">
      <c r="A12" s="24" t="s">
        <v>421</v>
      </c>
      <c r="B12" s="25">
        <f>+[7]สรุป!$B$4</f>
        <v>72000</v>
      </c>
      <c r="C12" s="25">
        <f>+[7]สรุป!$C$4</f>
        <v>36000</v>
      </c>
      <c r="D12" s="25">
        <f>+[7]สรุป!$D$4</f>
        <v>0</v>
      </c>
      <c r="E12" s="25">
        <f>+[7]สรุป!$E$4</f>
        <v>0</v>
      </c>
      <c r="F12" s="25">
        <f t="shared" si="4"/>
        <v>36000</v>
      </c>
      <c r="G12" s="25">
        <f>+[7]สรุป!$G$4</f>
        <v>0</v>
      </c>
      <c r="H12" s="25">
        <f>+[7]สรุป!$H$4</f>
        <v>0</v>
      </c>
      <c r="I12" s="25">
        <f>+[7]สรุป!$I$4</f>
        <v>0</v>
      </c>
      <c r="J12" s="25">
        <f>+[7]สรุป!$J$4</f>
        <v>0</v>
      </c>
      <c r="K12" s="25">
        <f>+[7]สรุป!$K$4</f>
        <v>72000</v>
      </c>
      <c r="L12" s="25">
        <f>+[7]สรุป!L4</f>
        <v>36000</v>
      </c>
      <c r="M12" s="25">
        <f>+[7]สรุป!$M$4</f>
        <v>0</v>
      </c>
      <c r="N12" s="25">
        <f>+[7]สรุป!$N$4</f>
        <v>0</v>
      </c>
      <c r="O12" s="25">
        <f>+[7]สรุป!$O$4</f>
        <v>0</v>
      </c>
      <c r="P12" s="25">
        <f>+[7]สรุป!$P$4</f>
        <v>17700</v>
      </c>
      <c r="Q12" s="25">
        <f>+[7]สรุป!Q4</f>
        <v>18300</v>
      </c>
      <c r="R12" s="25">
        <f>+[7]สรุป!R4</f>
        <v>54300</v>
      </c>
    </row>
    <row r="13" spans="1:18">
      <c r="A13" s="24" t="s">
        <v>418</v>
      </c>
      <c r="B13" s="25">
        <f>+[8]สรุป!$B$4</f>
        <v>144000</v>
      </c>
      <c r="C13" s="25">
        <f>+[8]สรุป!$C$4</f>
        <v>72000</v>
      </c>
      <c r="D13" s="25">
        <f>+[8]สรุป!$D$4</f>
        <v>0</v>
      </c>
      <c r="E13" s="25">
        <f>+[8]สรุป!$E$4</f>
        <v>0</v>
      </c>
      <c r="F13" s="25">
        <f t="shared" si="4"/>
        <v>72000</v>
      </c>
      <c r="G13" s="25">
        <f>+[8]สรุป!$G$4</f>
        <v>0</v>
      </c>
      <c r="H13" s="25">
        <f>+[8]สรุป!$H$4</f>
        <v>0</v>
      </c>
      <c r="I13" s="25">
        <f>+[8]สรุป!$I$4</f>
        <v>0</v>
      </c>
      <c r="J13" s="25">
        <f>+[8]สรุป!$J$4</f>
        <v>0</v>
      </c>
      <c r="K13" s="25">
        <f>+[8]สรุป!$K$4</f>
        <v>144000</v>
      </c>
      <c r="L13" s="25">
        <f>+[8]สรุป!L4</f>
        <v>72000</v>
      </c>
      <c r="M13" s="25">
        <f>+[8]สรุป!$M$4</f>
        <v>0</v>
      </c>
      <c r="N13" s="25">
        <f>+[8]สรุป!$N$4</f>
        <v>0</v>
      </c>
      <c r="O13" s="25">
        <f>+[8]สรุป!$O$4</f>
        <v>0</v>
      </c>
      <c r="P13" s="25">
        <f>+[8]สรุป!$P$4</f>
        <v>18000</v>
      </c>
      <c r="Q13" s="25">
        <f>+[8]สรุป!Q4</f>
        <v>54000</v>
      </c>
      <c r="R13" s="25">
        <f>+[8]สรุป!R4</f>
        <v>126000</v>
      </c>
    </row>
    <row r="14" spans="1:18">
      <c r="A14" s="24" t="s">
        <v>423</v>
      </c>
      <c r="B14" s="25">
        <f>+[9]สรุป!$B$4</f>
        <v>451200</v>
      </c>
      <c r="C14" s="25">
        <f>+[9]สรุป!$C$4</f>
        <v>225600</v>
      </c>
      <c r="D14" s="25">
        <f>+[9]สรุป!$D$4</f>
        <v>0</v>
      </c>
      <c r="E14" s="25">
        <f>+[9]สรุป!$E$4</f>
        <v>0</v>
      </c>
      <c r="F14" s="25">
        <f t="shared" si="4"/>
        <v>225600</v>
      </c>
      <c r="G14" s="25">
        <f>+[9]สรุป!$G$4</f>
        <v>0</v>
      </c>
      <c r="H14" s="25">
        <f>+[9]สรุป!$H$4</f>
        <v>0</v>
      </c>
      <c r="I14" s="25">
        <f>+[9]สรุป!$I$4</f>
        <v>0</v>
      </c>
      <c r="J14" s="25">
        <f>+[9]สรุป!$J$4</f>
        <v>0</v>
      </c>
      <c r="K14" s="25">
        <f>+[9]สรุป!$K$4</f>
        <v>451200</v>
      </c>
      <c r="L14" s="25">
        <f>+[9]สรุป!L4</f>
        <v>225600</v>
      </c>
      <c r="M14" s="25">
        <f>+[9]สรุป!$M$4</f>
        <v>0</v>
      </c>
      <c r="N14" s="25">
        <f>+[9]สรุป!$N$4</f>
        <v>6000</v>
      </c>
      <c r="O14" s="25">
        <f>+[9]สรุป!$O$4</f>
        <v>0</v>
      </c>
      <c r="P14" s="25">
        <f>+[9]สรุป!$P$4</f>
        <v>94800</v>
      </c>
      <c r="Q14" s="25">
        <f>+[9]สรุป!Q4</f>
        <v>124800</v>
      </c>
      <c r="R14" s="25">
        <f>+[9]สรุป!R4</f>
        <v>350400</v>
      </c>
    </row>
    <row r="15" spans="1:18">
      <c r="A15" s="24" t="s">
        <v>419</v>
      </c>
      <c r="B15" s="25">
        <f>+[10]สรุป!$B$4</f>
        <v>72000</v>
      </c>
      <c r="C15" s="25">
        <f>+[10]สรุป!$C$4</f>
        <v>36000</v>
      </c>
      <c r="D15" s="25">
        <f>+[10]สรุป!$D$4</f>
        <v>0</v>
      </c>
      <c r="E15" s="25">
        <f>+[10]สรุป!$E$4</f>
        <v>0</v>
      </c>
      <c r="F15" s="25">
        <f t="shared" si="4"/>
        <v>36000</v>
      </c>
      <c r="G15" s="25">
        <f>+[10]สรุป!$G$4</f>
        <v>0</v>
      </c>
      <c r="H15" s="25">
        <f>+[10]สรุป!$H$4</f>
        <v>0</v>
      </c>
      <c r="I15" s="25">
        <f>+[10]สรุป!$I$4</f>
        <v>0</v>
      </c>
      <c r="J15" s="25">
        <f>+[10]สรุป!$J$4</f>
        <v>0</v>
      </c>
      <c r="K15" s="25">
        <f>+[10]สรุป!$K$4</f>
        <v>72000</v>
      </c>
      <c r="L15" s="25">
        <f>+[10]สรุป!L4</f>
        <v>36000</v>
      </c>
      <c r="M15" s="25">
        <f>+[10]สรุป!$M$4</f>
        <v>0</v>
      </c>
      <c r="N15" s="25">
        <f>+[10]สรุป!$N$4</f>
        <v>0</v>
      </c>
      <c r="O15" s="25">
        <f>+[10]สรุป!$O$4</f>
        <v>0</v>
      </c>
      <c r="P15" s="25">
        <f>+[10]สรุป!$P$4</f>
        <v>24000</v>
      </c>
      <c r="Q15" s="25">
        <f>+[10]สรุป!Q4</f>
        <v>12000</v>
      </c>
      <c r="R15" s="25">
        <f>+[10]สรุป!R4</f>
        <v>48000</v>
      </c>
    </row>
    <row r="16" spans="1:18">
      <c r="A16" s="24" t="s">
        <v>420</v>
      </c>
      <c r="B16" s="25">
        <f>+[11]สรุป!$B$4</f>
        <v>63600</v>
      </c>
      <c r="C16" s="25">
        <f>+[11]สรุป!$C$4</f>
        <v>31800</v>
      </c>
      <c r="D16" s="25">
        <f>+[11]สรุป!$D$4</f>
        <v>0</v>
      </c>
      <c r="E16" s="25">
        <f>+[11]สรุป!$E$4</f>
        <v>0</v>
      </c>
      <c r="F16" s="25">
        <f t="shared" si="4"/>
        <v>31800</v>
      </c>
      <c r="G16" s="25">
        <f>+[11]สรุป!$G$4</f>
        <v>0</v>
      </c>
      <c r="H16" s="25">
        <f>+[11]สรุป!H4</f>
        <v>0</v>
      </c>
      <c r="I16" s="25">
        <f>+[11]สรุป!$I$4</f>
        <v>0</v>
      </c>
      <c r="J16" s="25">
        <f>+[11]สรุป!$J$4</f>
        <v>0</v>
      </c>
      <c r="K16" s="25">
        <f>+[11]สรุป!$K$4</f>
        <v>63600</v>
      </c>
      <c r="L16" s="25">
        <f>+[11]สรุป!L4</f>
        <v>31800</v>
      </c>
      <c r="M16" s="25">
        <f>+[11]สรุป!$M$4</f>
        <v>0</v>
      </c>
      <c r="N16" s="25">
        <f>+[11]สรุป!$N$4</f>
        <v>0</v>
      </c>
      <c r="O16" s="25">
        <f>+[11]สรุป!$O$4</f>
        <v>0</v>
      </c>
      <c r="P16" s="25">
        <f>+[11]สรุป!$P$4</f>
        <v>15900</v>
      </c>
      <c r="Q16" s="25">
        <f>+[11]สรุป!Q4</f>
        <v>15900</v>
      </c>
      <c r="R16" s="25">
        <f>+[11]สรุป!R4</f>
        <v>47700</v>
      </c>
    </row>
    <row r="17" spans="1:18">
      <c r="A17" s="24" t="s">
        <v>427</v>
      </c>
      <c r="B17" s="25">
        <f>+[12]สรุป!$B$4</f>
        <v>60000</v>
      </c>
      <c r="C17" s="25">
        <f>+[12]สรุป!$C$4</f>
        <v>30000</v>
      </c>
      <c r="D17" s="25">
        <f>+[12]สรุป!$D$4</f>
        <v>0</v>
      </c>
      <c r="E17" s="25">
        <f>+[12]สรุป!$E$4</f>
        <v>0</v>
      </c>
      <c r="F17" s="25">
        <f t="shared" si="4"/>
        <v>30000</v>
      </c>
      <c r="G17" s="25">
        <f>+[12]สรุป!$G$4</f>
        <v>0</v>
      </c>
      <c r="H17" s="25">
        <f>+[12]สรุป!$H$4</f>
        <v>0</v>
      </c>
      <c r="I17" s="25">
        <f>+[12]สรุป!$I$4</f>
        <v>0</v>
      </c>
      <c r="J17" s="25">
        <f>+[12]สรุป!$J$4</f>
        <v>0</v>
      </c>
      <c r="K17" s="25">
        <f>+[12]สรุป!$K$4</f>
        <v>60000</v>
      </c>
      <c r="L17" s="25">
        <f>+[12]สรุป!L4</f>
        <v>30000</v>
      </c>
      <c r="M17" s="25">
        <f>+[12]สรุป!$M$4</f>
        <v>0</v>
      </c>
      <c r="N17" s="25">
        <f>+[12]สรุป!$N$4</f>
        <v>0</v>
      </c>
      <c r="O17" s="25">
        <f>+[12]สรุป!$O$4</f>
        <v>0</v>
      </c>
      <c r="P17" s="25">
        <f>+[12]สรุป!$P$4</f>
        <v>0</v>
      </c>
      <c r="Q17" s="25">
        <f>+[12]สรุป!Q4</f>
        <v>30000</v>
      </c>
      <c r="R17" s="25">
        <f>+[12]สรุป!R4</f>
        <v>60000</v>
      </c>
    </row>
    <row r="18" spans="1:18">
      <c r="A18" s="24" t="s">
        <v>425</v>
      </c>
      <c r="B18" s="25">
        <f>+[13]สรุป!$B$4</f>
        <v>240000</v>
      </c>
      <c r="C18" s="25">
        <f>+[13]สรุป!$C$4</f>
        <v>120000</v>
      </c>
      <c r="D18" s="25">
        <f>+[13]สรุป!$D$4</f>
        <v>0</v>
      </c>
      <c r="E18" s="25">
        <f>+[13]สรุป!$E$4</f>
        <v>0</v>
      </c>
      <c r="F18" s="25">
        <f t="shared" si="4"/>
        <v>120000</v>
      </c>
      <c r="G18" s="25">
        <f>+[13]สรุป!$G$4</f>
        <v>0</v>
      </c>
      <c r="H18" s="25">
        <f>+[13]สรุป!$H$4</f>
        <v>0</v>
      </c>
      <c r="I18" s="25">
        <f>+[13]สรุป!$I$4</f>
        <v>0</v>
      </c>
      <c r="J18" s="25">
        <f>+[13]สรุป!$J$4</f>
        <v>0</v>
      </c>
      <c r="K18" s="25">
        <f>+[13]สรุป!$K$4</f>
        <v>240000</v>
      </c>
      <c r="L18" s="25">
        <f>+[13]สรุป!L4</f>
        <v>120000</v>
      </c>
      <c r="M18" s="25">
        <f>+[13]สรุป!$M$4</f>
        <v>0</v>
      </c>
      <c r="N18" s="25">
        <f>+[13]สรุป!$N$4</f>
        <v>0</v>
      </c>
      <c r="O18" s="25">
        <f>+[13]สรุป!$O$4</f>
        <v>0</v>
      </c>
      <c r="P18" s="25">
        <f>+[13]สรุป!$P$4</f>
        <v>33000</v>
      </c>
      <c r="Q18" s="25">
        <f>+[13]สรุป!Q4</f>
        <v>87000</v>
      </c>
      <c r="R18" s="25">
        <f>+[13]สรุป!R4</f>
        <v>207000</v>
      </c>
    </row>
    <row r="19" spans="1:18">
      <c r="A19" s="24" t="s">
        <v>426</v>
      </c>
      <c r="B19" s="25">
        <f>+[14]สรุป!$B$4</f>
        <v>60000</v>
      </c>
      <c r="C19" s="25">
        <f>+[14]สรุป!$C$4</f>
        <v>30000</v>
      </c>
      <c r="D19" s="25">
        <f>+[14]สรุป!$D$4</f>
        <v>0</v>
      </c>
      <c r="E19" s="25">
        <f>+[14]สรุป!$E$4</f>
        <v>0</v>
      </c>
      <c r="F19" s="25">
        <f t="shared" si="4"/>
        <v>30000</v>
      </c>
      <c r="G19" s="25">
        <f>+[14]สรุป!$G$4</f>
        <v>0</v>
      </c>
      <c r="H19" s="25">
        <f>+[14]สรุป!$H$4</f>
        <v>0</v>
      </c>
      <c r="I19" s="25">
        <f>+[14]สรุป!$I$4</f>
        <v>0</v>
      </c>
      <c r="J19" s="25">
        <f>+[14]สรุป!$J$4</f>
        <v>0</v>
      </c>
      <c r="K19" s="25">
        <f>+[14]สรุป!$K$4</f>
        <v>60000</v>
      </c>
      <c r="L19" s="25">
        <f>+[14]สรุป!L4</f>
        <v>30000</v>
      </c>
      <c r="M19" s="25">
        <f>+[14]สรุป!$M$4</f>
        <v>0</v>
      </c>
      <c r="N19" s="25">
        <f>+[14]สรุป!$N$4</f>
        <v>0</v>
      </c>
      <c r="O19" s="25">
        <f>+[14]สรุป!$O$4</f>
        <v>0</v>
      </c>
      <c r="P19" s="25">
        <f>+[14]สรุป!$P$4</f>
        <v>15000</v>
      </c>
      <c r="Q19" s="25">
        <f>+[14]สรุป!Q4</f>
        <v>15000</v>
      </c>
      <c r="R19" s="25">
        <f>+[14]สรุป!R4</f>
        <v>45000</v>
      </c>
    </row>
    <row r="20" spans="1:18" s="28" customFormat="1">
      <c r="A20" s="26" t="s">
        <v>413</v>
      </c>
      <c r="B20" s="27">
        <f>+[1]สรุป!$B$6</f>
        <v>1001800</v>
      </c>
      <c r="C20" s="27">
        <f>+[1]สรุป!$C$6</f>
        <v>500900</v>
      </c>
      <c r="D20" s="27">
        <f>+[1]สรุป!$D$6</f>
        <v>0</v>
      </c>
      <c r="E20" s="27">
        <f>+[1]สรุป!$E$6</f>
        <v>0</v>
      </c>
      <c r="F20" s="27">
        <f t="shared" si="3"/>
        <v>500900</v>
      </c>
      <c r="G20" s="27">
        <f>+[1]สรุป!$G$6</f>
        <v>0</v>
      </c>
      <c r="H20" s="27">
        <f>+[1]สรุป!$H$6</f>
        <v>0</v>
      </c>
      <c r="I20" s="27">
        <f>+[1]สรุป!$I$6</f>
        <v>0</v>
      </c>
      <c r="J20" s="27">
        <f>+[1]สรุป!$J$6</f>
        <v>0</v>
      </c>
      <c r="K20" s="27">
        <f>+[1]สรุป!$K$6</f>
        <v>1001800</v>
      </c>
      <c r="L20" s="27">
        <f>+[1]สรุป!L6</f>
        <v>500900</v>
      </c>
      <c r="M20" s="27">
        <f>+[1]สรุป!$M$6</f>
        <v>0</v>
      </c>
      <c r="N20" s="27">
        <f>+[1]สรุป!$N$6</f>
        <v>0</v>
      </c>
      <c r="O20" s="27">
        <f>+[1]สรุป!$O$6</f>
        <v>0</v>
      </c>
      <c r="P20" s="27">
        <f>+[1]สรุป!$P$6</f>
        <v>107372.48999999999</v>
      </c>
      <c r="Q20" s="27">
        <f>+[1]สรุป!Q6</f>
        <v>393527.51</v>
      </c>
      <c r="R20" s="27">
        <f>+[1]สรุป!R6</f>
        <v>894427.51</v>
      </c>
    </row>
    <row r="21" spans="1:18" s="28" customFormat="1">
      <c r="A21" s="26" t="s">
        <v>74</v>
      </c>
      <c r="B21" s="27">
        <f>+[1]สรุป!$B$7</f>
        <v>9900000</v>
      </c>
      <c r="C21" s="27">
        <f>+[1]สรุป!$C$7</f>
        <v>4950000</v>
      </c>
      <c r="D21" s="27">
        <f>+[1]สรุป!$D$7</f>
        <v>0</v>
      </c>
      <c r="E21" s="27">
        <f>+[1]สรุป!$E$7</f>
        <v>0</v>
      </c>
      <c r="F21" s="27">
        <f t="shared" si="3"/>
        <v>4950000</v>
      </c>
      <c r="G21" s="27">
        <f>+[1]สรุป!$G$7</f>
        <v>0</v>
      </c>
      <c r="H21" s="27">
        <f>+[1]สรุป!$H$7</f>
        <v>0</v>
      </c>
      <c r="I21" s="27">
        <f>+[1]สรุป!$I$7</f>
        <v>0</v>
      </c>
      <c r="J21" s="27">
        <f>+[1]สรุป!$J$7</f>
        <v>0</v>
      </c>
      <c r="K21" s="27">
        <f>+[1]สรุป!$K$7</f>
        <v>9900000</v>
      </c>
      <c r="L21" s="27">
        <f>+[1]สรุป!L7</f>
        <v>4950000</v>
      </c>
      <c r="M21" s="27">
        <f>+[1]สรุป!$M$7</f>
        <v>0</v>
      </c>
      <c r="N21" s="27">
        <f>+[1]สรุป!$N$7</f>
        <v>0</v>
      </c>
      <c r="O21" s="27">
        <f>+[1]สรุป!$O$7</f>
        <v>0</v>
      </c>
      <c r="P21" s="27">
        <f>+[1]สรุป!$P$7</f>
        <v>1852512.73</v>
      </c>
      <c r="Q21" s="27">
        <f>+[1]สรุป!Q7</f>
        <v>3097487.27</v>
      </c>
      <c r="R21" s="27">
        <f>+[1]สรุป!R7</f>
        <v>8047487.2699999996</v>
      </c>
    </row>
    <row r="22" spans="1:18" s="28" customFormat="1">
      <c r="A22" s="26" t="s">
        <v>14</v>
      </c>
      <c r="B22" s="27">
        <f>+[1]สรุป!$B$8</f>
        <v>10620000</v>
      </c>
      <c r="C22" s="27">
        <f>+[1]สรุป!$C$8</f>
        <v>5310000</v>
      </c>
      <c r="D22" s="27">
        <f>+[1]สรุป!$D$8</f>
        <v>0</v>
      </c>
      <c r="E22" s="27">
        <f>+[1]สรุป!$E$8</f>
        <v>0</v>
      </c>
      <c r="F22" s="27">
        <f t="shared" si="3"/>
        <v>5310000</v>
      </c>
      <c r="G22" s="27">
        <f>+[1]สรุป!$G$8</f>
        <v>0</v>
      </c>
      <c r="H22" s="27">
        <f>+[1]สรุป!$H$8</f>
        <v>0</v>
      </c>
      <c r="I22" s="27">
        <f>+[1]สรุป!$I$8</f>
        <v>0</v>
      </c>
      <c r="J22" s="27">
        <f>+[1]สรุป!$J$8</f>
        <v>0</v>
      </c>
      <c r="K22" s="27">
        <f>+[1]สรุป!$K$8</f>
        <v>10620000</v>
      </c>
      <c r="L22" s="27">
        <f>+[1]สรุป!L8</f>
        <v>5310000</v>
      </c>
      <c r="M22" s="27">
        <f>+[1]สรุป!$M$8</f>
        <v>0</v>
      </c>
      <c r="N22" s="27">
        <f>+[1]สรุป!$N$8</f>
        <v>0</v>
      </c>
      <c r="O22" s="27">
        <f>+[1]สรุป!$O$8</f>
        <v>0</v>
      </c>
      <c r="P22" s="27">
        <f>+[1]สรุป!$P$8</f>
        <v>2985000</v>
      </c>
      <c r="Q22" s="27">
        <f>+[1]สรุป!Q8</f>
        <v>2325000</v>
      </c>
      <c r="R22" s="27">
        <f>+[1]สรุป!R8</f>
        <v>7635000</v>
      </c>
    </row>
    <row r="23" spans="1:18" s="28" customFormat="1">
      <c r="A23" s="26" t="s">
        <v>15</v>
      </c>
      <c r="B23" s="27">
        <f>+[1]สรุป!$B$9</f>
        <v>48000</v>
      </c>
      <c r="C23" s="27">
        <f>+[1]สรุป!$C$9</f>
        <v>24000</v>
      </c>
      <c r="D23" s="27">
        <f>+[1]สรุป!$D$9</f>
        <v>0</v>
      </c>
      <c r="E23" s="27">
        <f>+[1]สรุป!$E$9</f>
        <v>0</v>
      </c>
      <c r="F23" s="27">
        <f t="shared" si="3"/>
        <v>24000</v>
      </c>
      <c r="G23" s="27">
        <f>+[1]สรุป!$G$9</f>
        <v>0</v>
      </c>
      <c r="H23" s="27">
        <f>+[1]สรุป!$H$9</f>
        <v>0</v>
      </c>
      <c r="I23" s="27">
        <f>+[1]สรุป!$I$9</f>
        <v>0</v>
      </c>
      <c r="J23" s="27">
        <f>+[1]สรุป!$J$9</f>
        <v>0</v>
      </c>
      <c r="K23" s="27">
        <f>+[1]สรุป!$K$9</f>
        <v>48000</v>
      </c>
      <c r="L23" s="27">
        <f>+[1]สรุป!L9</f>
        <v>24000</v>
      </c>
      <c r="M23" s="27">
        <f>+[1]สรุป!$M$9</f>
        <v>0</v>
      </c>
      <c r="N23" s="27">
        <f>+[1]สรุป!$N$9</f>
        <v>0</v>
      </c>
      <c r="O23" s="27">
        <f>+[1]สรุป!$O$9</f>
        <v>0</v>
      </c>
      <c r="P23" s="27">
        <f>+[1]สรุป!$P$9</f>
        <v>0</v>
      </c>
      <c r="Q23" s="27">
        <f>+[1]สรุป!Q9</f>
        <v>24000</v>
      </c>
      <c r="R23" s="27">
        <f>+[1]สรุป!R9</f>
        <v>48000</v>
      </c>
    </row>
    <row r="24" spans="1:18" s="28" customFormat="1">
      <c r="A24" s="26" t="s">
        <v>414</v>
      </c>
      <c r="B24" s="27">
        <f>+[1]สรุป!$B$10</f>
        <v>963000</v>
      </c>
      <c r="C24" s="27">
        <f>+[1]สรุป!$C$10</f>
        <v>481500</v>
      </c>
      <c r="D24" s="27">
        <f>+[1]สรุป!$D$10</f>
        <v>0</v>
      </c>
      <c r="E24" s="27">
        <f>+[1]สรุป!$E$10</f>
        <v>0</v>
      </c>
      <c r="F24" s="27">
        <f t="shared" si="3"/>
        <v>481500</v>
      </c>
      <c r="G24" s="27">
        <f>+[1]สรุป!$G$10</f>
        <v>0</v>
      </c>
      <c r="H24" s="27">
        <f>+[1]สรุป!$H$10</f>
        <v>0</v>
      </c>
      <c r="I24" s="27">
        <f>+[1]สรุป!$I$10</f>
        <v>0</v>
      </c>
      <c r="J24" s="27">
        <f>+[1]สรุป!$J$10</f>
        <v>0</v>
      </c>
      <c r="K24" s="27">
        <f>+[1]สรุป!$K$10</f>
        <v>963000</v>
      </c>
      <c r="L24" s="27">
        <f>+[1]สรุป!L10</f>
        <v>481500</v>
      </c>
      <c r="M24" s="27">
        <f>+[1]สรุป!$M$10</f>
        <v>0</v>
      </c>
      <c r="N24" s="27">
        <f>+[1]สรุป!$N$10</f>
        <v>0</v>
      </c>
      <c r="O24" s="27">
        <f>+[1]สรุป!$O$10</f>
        <v>0</v>
      </c>
      <c r="P24" s="27">
        <f>+[1]สรุป!$P$10</f>
        <v>140138</v>
      </c>
      <c r="Q24" s="27">
        <f>+[1]สรุป!Q10</f>
        <v>341362</v>
      </c>
      <c r="R24" s="27">
        <f>+[1]สรุป!R10</f>
        <v>822862</v>
      </c>
    </row>
    <row r="25" spans="1:18" s="28" customFormat="1">
      <c r="A25" s="26" t="s">
        <v>17</v>
      </c>
      <c r="B25" s="27">
        <f>+[1]สรุป!$B$11</f>
        <v>56000</v>
      </c>
      <c r="C25" s="27">
        <f>+[1]สรุป!$C$11</f>
        <v>28000</v>
      </c>
      <c r="D25" s="27">
        <f>+[1]สรุป!$D$11</f>
        <v>0</v>
      </c>
      <c r="E25" s="27">
        <f>+[1]สรุป!$E$11</f>
        <v>0</v>
      </c>
      <c r="F25" s="27">
        <f t="shared" si="3"/>
        <v>28000</v>
      </c>
      <c r="G25" s="27">
        <f>+[1]สรุป!$G$11</f>
        <v>0</v>
      </c>
      <c r="H25" s="27">
        <f>+[1]สรุป!$H$11</f>
        <v>0</v>
      </c>
      <c r="I25" s="27">
        <f>+[1]สรุป!$I$11</f>
        <v>0</v>
      </c>
      <c r="J25" s="27">
        <f>+[1]สรุป!$J$11</f>
        <v>0</v>
      </c>
      <c r="K25" s="27">
        <f>+[1]สรุป!$K$11</f>
        <v>56000</v>
      </c>
      <c r="L25" s="27">
        <f>+[1]สรุป!L11</f>
        <v>28000</v>
      </c>
      <c r="M25" s="27">
        <f>+[1]สรุป!$M$11</f>
        <v>0</v>
      </c>
      <c r="N25" s="27">
        <f>+[1]สรุป!$N$11</f>
        <v>0</v>
      </c>
      <c r="O25" s="27">
        <f>+[1]สรุป!$O$11</f>
        <v>0</v>
      </c>
      <c r="P25" s="27">
        <f>+[1]สรุป!$P$11</f>
        <v>0</v>
      </c>
      <c r="Q25" s="27">
        <f>+[1]สรุป!Q11</f>
        <v>28000</v>
      </c>
      <c r="R25" s="27">
        <f>+[1]สรุป!R11</f>
        <v>56000</v>
      </c>
    </row>
    <row r="26" spans="1:18" s="28" customForma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s="243" customFormat="1">
      <c r="A27" s="29" t="s">
        <v>60</v>
      </c>
      <c r="B27" s="30">
        <f>SUM(B85,B116,B122,B28,B31,B34,B37,B40,B43,B46,B49,B52,B55,B58,B61,B64,B67,B70,B73,B76,B79,B82,B124)</f>
        <v>164581300</v>
      </c>
      <c r="C27" s="30">
        <f t="shared" ref="C27:R27" si="5">SUM(C85,C116,C122,C28,C31,C34,C37,C40,C43,C46,C49,C52,C55,C58,C61,C64,C67,C70,C73,C76,C79,C82,C124)</f>
        <v>82290600</v>
      </c>
      <c r="D27" s="30">
        <f t="shared" si="5"/>
        <v>0</v>
      </c>
      <c r="E27" s="30">
        <f t="shared" si="5"/>
        <v>0</v>
      </c>
      <c r="F27" s="30">
        <f t="shared" si="5"/>
        <v>82290600</v>
      </c>
      <c r="G27" s="30">
        <f t="shared" si="5"/>
        <v>0</v>
      </c>
      <c r="H27" s="30">
        <f t="shared" si="5"/>
        <v>0</v>
      </c>
      <c r="I27" s="30">
        <f t="shared" si="5"/>
        <v>-858220</v>
      </c>
      <c r="J27" s="30">
        <f t="shared" si="5"/>
        <v>-15000</v>
      </c>
      <c r="K27" s="30">
        <f t="shared" si="5"/>
        <v>163708080</v>
      </c>
      <c r="L27" s="30">
        <f t="shared" si="5"/>
        <v>81417380</v>
      </c>
      <c r="M27" s="30">
        <f t="shared" si="5"/>
        <v>302249</v>
      </c>
      <c r="N27" s="30">
        <f t="shared" si="5"/>
        <v>1024855.53</v>
      </c>
      <c r="O27" s="30">
        <f t="shared" si="5"/>
        <v>937010.85</v>
      </c>
      <c r="P27" s="30">
        <f t="shared" si="5"/>
        <v>24309971.240000002</v>
      </c>
      <c r="Q27" s="30">
        <f t="shared" si="5"/>
        <v>54843293.380000003</v>
      </c>
      <c r="R27" s="30">
        <f t="shared" si="5"/>
        <v>137133993.38000005</v>
      </c>
    </row>
    <row r="28" spans="1:18" s="28" customFormat="1">
      <c r="A28" s="26" t="s">
        <v>57</v>
      </c>
      <c r="B28" s="31">
        <f>SUM(B29:B30)</f>
        <v>153630</v>
      </c>
      <c r="C28" s="31">
        <f t="shared" ref="C28:R28" si="6">SUM(C29:C30)</f>
        <v>76815</v>
      </c>
      <c r="D28" s="31">
        <f t="shared" si="6"/>
        <v>0</v>
      </c>
      <c r="E28" s="31">
        <f t="shared" si="6"/>
        <v>0</v>
      </c>
      <c r="F28" s="31">
        <f t="shared" si="6"/>
        <v>76815</v>
      </c>
      <c r="G28" s="31">
        <f t="shared" si="6"/>
        <v>0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153630</v>
      </c>
      <c r="L28" s="31">
        <f t="shared" si="6"/>
        <v>76815</v>
      </c>
      <c r="M28" s="31">
        <f t="shared" si="6"/>
        <v>28700</v>
      </c>
      <c r="N28" s="31">
        <f t="shared" si="6"/>
        <v>0</v>
      </c>
      <c r="O28" s="31">
        <f t="shared" si="6"/>
        <v>0</v>
      </c>
      <c r="P28" s="31">
        <f t="shared" si="6"/>
        <v>26966.58</v>
      </c>
      <c r="Q28" s="31">
        <f t="shared" si="6"/>
        <v>21148.42</v>
      </c>
      <c r="R28" s="31">
        <f t="shared" si="6"/>
        <v>97963.42</v>
      </c>
    </row>
    <row r="29" spans="1:18">
      <c r="A29" s="24" t="s">
        <v>75</v>
      </c>
      <c r="B29" s="32">
        <f>+[15]สรุป!$B$5</f>
        <v>153630</v>
      </c>
      <c r="C29" s="32">
        <f>+[15]สรุป!$C$5</f>
        <v>76815</v>
      </c>
      <c r="D29" s="32">
        <f>+[15]สรุป!$D$5</f>
        <v>0</v>
      </c>
      <c r="E29" s="32">
        <f>+[15]สรุป!$E$5</f>
        <v>0</v>
      </c>
      <c r="F29" s="32">
        <f>SUM(C29:E29)</f>
        <v>76815</v>
      </c>
      <c r="G29" s="32">
        <f>+[15]สรุป!$G$5</f>
        <v>0</v>
      </c>
      <c r="H29" s="32">
        <f>+[15]สรุป!$H$5</f>
        <v>0</v>
      </c>
      <c r="I29" s="32">
        <f>+[15]สรุป!$I$5</f>
        <v>0</v>
      </c>
      <c r="J29" s="32">
        <f>+[15]สรุป!$J$5</f>
        <v>0</v>
      </c>
      <c r="K29" s="32">
        <f>+[15]สรุป!$K5</f>
        <v>153630</v>
      </c>
      <c r="L29" s="32">
        <f>+[15]สรุป!L$5</f>
        <v>76815</v>
      </c>
      <c r="M29" s="32">
        <f>+[15]สรุป!$M$5</f>
        <v>28700</v>
      </c>
      <c r="N29" s="32">
        <f>+[15]สรุป!$N$5</f>
        <v>0</v>
      </c>
      <c r="O29" s="32">
        <f>+[15]สรุป!$O$5</f>
        <v>0</v>
      </c>
      <c r="P29" s="32">
        <f>+[15]สรุป!$P$5</f>
        <v>26966.58</v>
      </c>
      <c r="Q29" s="32">
        <f>+[15]สรุป!Q$5</f>
        <v>21148.42</v>
      </c>
      <c r="R29" s="32">
        <f>+[15]สรุป!R$5</f>
        <v>97963.42</v>
      </c>
    </row>
    <row r="30" spans="1:18">
      <c r="A30" s="24" t="s">
        <v>76</v>
      </c>
      <c r="B30" s="32">
        <f>+[15]สรุป!$B$7</f>
        <v>0</v>
      </c>
      <c r="C30" s="32">
        <f>+[15]สรุป!$C$7</f>
        <v>0</v>
      </c>
      <c r="D30" s="32">
        <f>+[15]สรุป!$D$7</f>
        <v>0</v>
      </c>
      <c r="E30" s="32">
        <f>+[15]สรุป!$E$7</f>
        <v>0</v>
      </c>
      <c r="F30" s="32">
        <f>SUM(C30:E30)</f>
        <v>0</v>
      </c>
      <c r="G30" s="32">
        <f>+[15]สรุป!$G$7</f>
        <v>0</v>
      </c>
      <c r="H30" s="32">
        <f>+[15]สรุป!$H$7</f>
        <v>0</v>
      </c>
      <c r="I30" s="32">
        <f>+[15]สรุป!$I$7</f>
        <v>0</v>
      </c>
      <c r="J30" s="32">
        <f>+[15]สรุป!$J$7</f>
        <v>0</v>
      </c>
      <c r="K30" s="32">
        <f>+[15]สรุป!$K7</f>
        <v>0</v>
      </c>
      <c r="L30" s="32">
        <f>+[15]สรุป!L$7</f>
        <v>0</v>
      </c>
      <c r="M30" s="32">
        <f>+[15]สรุป!$M$7</f>
        <v>0</v>
      </c>
      <c r="N30" s="32">
        <f>+[15]สรุป!$N$7</f>
        <v>0</v>
      </c>
      <c r="O30" s="32">
        <f>+[15]สรุป!$O$7</f>
        <v>0</v>
      </c>
      <c r="P30" s="32">
        <f>+[15]สรุป!$P$7</f>
        <v>0</v>
      </c>
      <c r="Q30" s="32">
        <f>+[15]สรุป!Q$7</f>
        <v>0</v>
      </c>
      <c r="R30" s="32">
        <f>+[15]สรุป!R$7</f>
        <v>0</v>
      </c>
    </row>
    <row r="31" spans="1:18" s="28" customFormat="1">
      <c r="A31" s="26" t="s">
        <v>58</v>
      </c>
      <c r="B31" s="31">
        <f>SUM(B32:B33)</f>
        <v>395950</v>
      </c>
      <c r="C31" s="31">
        <f t="shared" ref="C31:R31" si="7">SUM(C32:C33)</f>
        <v>197975</v>
      </c>
      <c r="D31" s="31">
        <f t="shared" si="7"/>
        <v>0</v>
      </c>
      <c r="E31" s="31">
        <f t="shared" si="7"/>
        <v>0</v>
      </c>
      <c r="F31" s="31">
        <f t="shared" si="7"/>
        <v>197975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395950</v>
      </c>
      <c r="L31" s="31">
        <f t="shared" si="7"/>
        <v>197975</v>
      </c>
      <c r="M31" s="31">
        <f t="shared" si="7"/>
        <v>0</v>
      </c>
      <c r="N31" s="31">
        <f t="shared" si="7"/>
        <v>29760</v>
      </c>
      <c r="O31" s="31">
        <f t="shared" si="7"/>
        <v>0</v>
      </c>
      <c r="P31" s="31">
        <f t="shared" si="7"/>
        <v>104926.06</v>
      </c>
      <c r="Q31" s="31">
        <f t="shared" si="7"/>
        <v>63288.94</v>
      </c>
      <c r="R31" s="31">
        <f t="shared" si="7"/>
        <v>261263.94</v>
      </c>
    </row>
    <row r="32" spans="1:18">
      <c r="A32" s="24" t="s">
        <v>75</v>
      </c>
      <c r="B32" s="33">
        <f>+[16]สรุป!$B$5</f>
        <v>395950</v>
      </c>
      <c r="C32" s="33">
        <f>+[16]สรุป!$C$5</f>
        <v>197975</v>
      </c>
      <c r="D32" s="33">
        <f>+[16]สรุป!$D$5</f>
        <v>0</v>
      </c>
      <c r="E32" s="33">
        <f>+[16]สรุป!$E$5</f>
        <v>0</v>
      </c>
      <c r="F32" s="33">
        <f>SUM(C32:E32)</f>
        <v>197975</v>
      </c>
      <c r="G32" s="33">
        <f>+[16]สรุป!$G$5</f>
        <v>0</v>
      </c>
      <c r="H32" s="33">
        <f>+[16]สรุป!$H$5</f>
        <v>0</v>
      </c>
      <c r="I32" s="33">
        <f>+[16]สรุป!$I$5</f>
        <v>0</v>
      </c>
      <c r="J32" s="33">
        <f>+[16]สรุป!$J$5</f>
        <v>0</v>
      </c>
      <c r="K32" s="33">
        <f>+[16]สรุป!$K$5</f>
        <v>395950</v>
      </c>
      <c r="L32" s="33">
        <f>+[16]สรุป!L$5</f>
        <v>197975</v>
      </c>
      <c r="M32" s="33">
        <f>+[16]สรุป!$M$5</f>
        <v>0</v>
      </c>
      <c r="N32" s="33">
        <f>+[16]สรุป!$N$5</f>
        <v>29760</v>
      </c>
      <c r="O32" s="33">
        <f>+[16]สรุป!$O$5</f>
        <v>0</v>
      </c>
      <c r="P32" s="33">
        <f>+[16]สรุป!$P$5</f>
        <v>104926.06</v>
      </c>
      <c r="Q32" s="33">
        <f>+[16]สรุป!Q$5</f>
        <v>63288.94</v>
      </c>
      <c r="R32" s="33">
        <f>+[16]สรุป!R$5</f>
        <v>261263.94</v>
      </c>
    </row>
    <row r="33" spans="1:18">
      <c r="A33" s="24" t="s">
        <v>76</v>
      </c>
      <c r="B33" s="33">
        <f>+[16]สรุป!$B$7</f>
        <v>0</v>
      </c>
      <c r="C33" s="33">
        <f>+[16]สรุป!$C$7</f>
        <v>0</v>
      </c>
      <c r="D33" s="33">
        <f>+[16]สรุป!$D$7</f>
        <v>0</v>
      </c>
      <c r="E33" s="33">
        <f>+[16]สรุป!$E$7</f>
        <v>0</v>
      </c>
      <c r="F33" s="33">
        <f>SUM(C33:E33)</f>
        <v>0</v>
      </c>
      <c r="G33" s="33">
        <f>+[16]สรุป!$G$7</f>
        <v>0</v>
      </c>
      <c r="H33" s="33">
        <f>+[16]สรุป!$H$7</f>
        <v>0</v>
      </c>
      <c r="I33" s="33">
        <f>+[16]สรุป!$I$7</f>
        <v>0</v>
      </c>
      <c r="J33" s="33">
        <f>+[16]สรุป!$J$7</f>
        <v>0</v>
      </c>
      <c r="K33" s="33">
        <f>+[16]สรุป!$K$7</f>
        <v>0</v>
      </c>
      <c r="L33" s="33">
        <f>+[16]สรุป!L$7</f>
        <v>0</v>
      </c>
      <c r="M33" s="33">
        <f>+[16]สรุป!$M$7</f>
        <v>0</v>
      </c>
      <c r="N33" s="33">
        <f>+[16]สรุป!$N$7</f>
        <v>0</v>
      </c>
      <c r="O33" s="33">
        <f>+[16]สรุป!$O$7</f>
        <v>0</v>
      </c>
      <c r="P33" s="33">
        <f>+[16]สรุป!$P$7</f>
        <v>0</v>
      </c>
      <c r="Q33" s="33">
        <f>+[16]สรุป!Q$7</f>
        <v>0</v>
      </c>
      <c r="R33" s="33">
        <f>+[16]สรุป!R$7</f>
        <v>0</v>
      </c>
    </row>
    <row r="34" spans="1:18" s="28" customFormat="1">
      <c r="A34" s="26" t="s">
        <v>77</v>
      </c>
      <c r="B34" s="34">
        <f>SUM(B35:B36)</f>
        <v>6228660</v>
      </c>
      <c r="C34" s="34">
        <f t="shared" ref="C34:R34" si="8">SUM(C35:C36)</f>
        <v>3030210</v>
      </c>
      <c r="D34" s="34">
        <f t="shared" si="8"/>
        <v>0</v>
      </c>
      <c r="E34" s="34">
        <f t="shared" si="8"/>
        <v>0</v>
      </c>
      <c r="F34" s="34">
        <f t="shared" si="8"/>
        <v>3030210</v>
      </c>
      <c r="G34" s="34">
        <f t="shared" si="8"/>
        <v>0</v>
      </c>
      <c r="H34" s="34">
        <f t="shared" si="8"/>
        <v>0</v>
      </c>
      <c r="I34" s="34">
        <f t="shared" si="8"/>
        <v>0</v>
      </c>
      <c r="J34" s="34">
        <f t="shared" si="8"/>
        <v>0</v>
      </c>
      <c r="K34" s="34">
        <f t="shared" si="8"/>
        <v>6228660</v>
      </c>
      <c r="L34" s="34">
        <f t="shared" si="8"/>
        <v>3030210</v>
      </c>
      <c r="M34" s="34">
        <f t="shared" si="8"/>
        <v>0</v>
      </c>
      <c r="N34" s="34">
        <f t="shared" si="8"/>
        <v>3885</v>
      </c>
      <c r="O34" s="34">
        <f t="shared" si="8"/>
        <v>199648</v>
      </c>
      <c r="P34" s="34">
        <f t="shared" si="8"/>
        <v>1249987.27</v>
      </c>
      <c r="Q34" s="34">
        <f t="shared" si="8"/>
        <v>1576689.73</v>
      </c>
      <c r="R34" s="34">
        <f t="shared" si="8"/>
        <v>4775139.7300000004</v>
      </c>
    </row>
    <row r="35" spans="1:18">
      <c r="A35" s="24" t="s">
        <v>75</v>
      </c>
      <c r="B35" s="33">
        <f>+[2]สรุป!$B$7</f>
        <v>6228660</v>
      </c>
      <c r="C35" s="33">
        <f>+[2]สรุป!$C$7</f>
        <v>3030210</v>
      </c>
      <c r="D35" s="33">
        <f>+[2]สรุป!$D$7</f>
        <v>0</v>
      </c>
      <c r="E35" s="33">
        <f>+[2]สรุป!$E$7</f>
        <v>0</v>
      </c>
      <c r="F35" s="33">
        <f>SUM(C35:E35)</f>
        <v>3030210</v>
      </c>
      <c r="G35" s="33">
        <f>+[2]สรุป!$G$7</f>
        <v>0</v>
      </c>
      <c r="H35" s="33">
        <f>+[2]สรุป!$H$7</f>
        <v>0</v>
      </c>
      <c r="I35" s="33">
        <f>+[2]สรุป!$I$7</f>
        <v>0</v>
      </c>
      <c r="J35" s="33">
        <f>+[2]สรุป!$J$7</f>
        <v>0</v>
      </c>
      <c r="K35" s="33">
        <f>+[2]สรุป!$K$7</f>
        <v>6228660</v>
      </c>
      <c r="L35" s="33">
        <f>+[2]สรุป!L$7</f>
        <v>3030210</v>
      </c>
      <c r="M35" s="33">
        <f>+[2]สรุป!$M$7</f>
        <v>0</v>
      </c>
      <c r="N35" s="33">
        <f>+[2]สรุป!$N$7</f>
        <v>3885</v>
      </c>
      <c r="O35" s="33">
        <f>+[2]สรุป!$O$7</f>
        <v>199648</v>
      </c>
      <c r="P35" s="33">
        <f>+[2]สรุป!$P$7</f>
        <v>1249987.27</v>
      </c>
      <c r="Q35" s="33">
        <f>+[2]สรุป!Q$7</f>
        <v>1576689.73</v>
      </c>
      <c r="R35" s="33">
        <f>+[2]สรุป!R$7</f>
        <v>4775139.7300000004</v>
      </c>
    </row>
    <row r="36" spans="1:18">
      <c r="A36" s="24" t="s">
        <v>76</v>
      </c>
      <c r="B36" s="33">
        <f>+[2]สรุป!$B$10</f>
        <v>0</v>
      </c>
      <c r="C36" s="33">
        <f>+[2]สรุป!$C$10</f>
        <v>0</v>
      </c>
      <c r="D36" s="33">
        <f>+[2]สรุป!$D$10</f>
        <v>0</v>
      </c>
      <c r="E36" s="33">
        <f>+[2]สรุป!$E$10</f>
        <v>0</v>
      </c>
      <c r="F36" s="33">
        <f>SUM(C36:E36)</f>
        <v>0</v>
      </c>
      <c r="G36" s="33">
        <f>+[2]สรุป!$G$10</f>
        <v>0</v>
      </c>
      <c r="H36" s="33">
        <f>+[2]สรุป!$H$10</f>
        <v>0</v>
      </c>
      <c r="I36" s="33">
        <f>+[2]สรุป!$I$10</f>
        <v>0</v>
      </c>
      <c r="J36" s="33">
        <f>+[2]สรุป!$J$10</f>
        <v>0</v>
      </c>
      <c r="K36" s="33">
        <f>+[2]สรุป!$K$10</f>
        <v>0</v>
      </c>
      <c r="L36" s="33">
        <f>+[2]สรุป!L$10</f>
        <v>0</v>
      </c>
      <c r="M36" s="33">
        <f>+[2]สรุป!$M$10</f>
        <v>0</v>
      </c>
      <c r="N36" s="33">
        <f>+[2]สรุป!$N$10</f>
        <v>0</v>
      </c>
      <c r="O36" s="33">
        <f>+[2]สรุป!$O$10</f>
        <v>0</v>
      </c>
      <c r="P36" s="33">
        <f>+[2]สรุป!$P$10</f>
        <v>0</v>
      </c>
      <c r="Q36" s="33">
        <f>+[2]สรุป!Q$10</f>
        <v>0</v>
      </c>
      <c r="R36" s="33">
        <f>+[2]สรุป!R$10</f>
        <v>0</v>
      </c>
    </row>
    <row r="37" spans="1:18" s="28" customFormat="1">
      <c r="A37" s="26" t="s">
        <v>78</v>
      </c>
      <c r="B37" s="34">
        <f>SUM(B38:B39)</f>
        <v>17257445</v>
      </c>
      <c r="C37" s="34">
        <f t="shared" ref="C37:R37" si="9">SUM(C38:C39)</f>
        <v>8749665</v>
      </c>
      <c r="D37" s="34">
        <f t="shared" si="9"/>
        <v>0</v>
      </c>
      <c r="E37" s="34">
        <f t="shared" si="9"/>
        <v>0</v>
      </c>
      <c r="F37" s="34">
        <f t="shared" si="9"/>
        <v>8749665</v>
      </c>
      <c r="G37" s="34">
        <f t="shared" si="9"/>
        <v>0</v>
      </c>
      <c r="H37" s="34">
        <f t="shared" si="9"/>
        <v>0</v>
      </c>
      <c r="I37" s="34">
        <f t="shared" si="9"/>
        <v>0</v>
      </c>
      <c r="J37" s="34">
        <f t="shared" si="9"/>
        <v>0</v>
      </c>
      <c r="K37" s="34">
        <f t="shared" si="9"/>
        <v>17257445</v>
      </c>
      <c r="L37" s="34">
        <f t="shared" si="9"/>
        <v>8749665</v>
      </c>
      <c r="M37" s="34">
        <f t="shared" si="9"/>
        <v>0</v>
      </c>
      <c r="N37" s="34">
        <f t="shared" si="9"/>
        <v>65065</v>
      </c>
      <c r="O37" s="34">
        <f t="shared" si="9"/>
        <v>51386.29</v>
      </c>
      <c r="P37" s="34">
        <f t="shared" si="9"/>
        <v>1783685.07</v>
      </c>
      <c r="Q37" s="34">
        <f t="shared" si="9"/>
        <v>6849528.6400000006</v>
      </c>
      <c r="R37" s="34">
        <f t="shared" si="9"/>
        <v>15357308.640000001</v>
      </c>
    </row>
    <row r="38" spans="1:18">
      <c r="A38" s="24" t="s">
        <v>75</v>
      </c>
      <c r="B38" s="33">
        <f>+[3]สรุป!$B$7</f>
        <v>17257445</v>
      </c>
      <c r="C38" s="33">
        <f>+[3]สรุป!$C$7</f>
        <v>8749665</v>
      </c>
      <c r="D38" s="33">
        <f>+[3]สรุป!$D$7</f>
        <v>0</v>
      </c>
      <c r="E38" s="33">
        <f>+[3]สรุป!$E$7</f>
        <v>0</v>
      </c>
      <c r="F38" s="33">
        <f>SUM(C38:E38)</f>
        <v>8749665</v>
      </c>
      <c r="G38" s="33">
        <f>+[3]สรุป!$G$7</f>
        <v>0</v>
      </c>
      <c r="H38" s="33">
        <f>+[3]สรุป!$H$7</f>
        <v>0</v>
      </c>
      <c r="I38" s="33">
        <f>+[3]สรุป!$I$7</f>
        <v>0</v>
      </c>
      <c r="J38" s="33">
        <f>+[3]สรุป!$J$7</f>
        <v>0</v>
      </c>
      <c r="K38" s="33">
        <f>+[3]สรุป!$K$7</f>
        <v>17257445</v>
      </c>
      <c r="L38" s="33">
        <f>+[3]สรุป!L$7</f>
        <v>8749665</v>
      </c>
      <c r="M38" s="33">
        <f>+[3]สรุป!$M$7</f>
        <v>0</v>
      </c>
      <c r="N38" s="33">
        <f>+[3]สรุป!$N$7</f>
        <v>65065</v>
      </c>
      <c r="O38" s="33">
        <f>+[3]สรุป!$O$7</f>
        <v>51386.29</v>
      </c>
      <c r="P38" s="33">
        <f>+[3]สรุป!$P$7</f>
        <v>1783685.07</v>
      </c>
      <c r="Q38" s="33">
        <f>+[3]สรุป!Q$7</f>
        <v>6849528.6400000006</v>
      </c>
      <c r="R38" s="33">
        <f>+[3]สรุป!R$7</f>
        <v>15357308.640000001</v>
      </c>
    </row>
    <row r="39" spans="1:18">
      <c r="A39" s="24" t="s">
        <v>76</v>
      </c>
      <c r="B39" s="33">
        <f>+[3]สรุป!$B$9</f>
        <v>0</v>
      </c>
      <c r="C39" s="33">
        <f>+[3]สรุป!$C$9</f>
        <v>0</v>
      </c>
      <c r="D39" s="33">
        <f>+[3]สรุป!$D$9</f>
        <v>0</v>
      </c>
      <c r="E39" s="33">
        <f>+[3]สรุป!$E$9</f>
        <v>0</v>
      </c>
      <c r="F39" s="33">
        <f>SUM(C39:E39)</f>
        <v>0</v>
      </c>
      <c r="G39" s="33">
        <f>+[3]สรุป!$G$9</f>
        <v>0</v>
      </c>
      <c r="H39" s="33">
        <f>+[3]สรุป!$H$9</f>
        <v>0</v>
      </c>
      <c r="I39" s="33">
        <f>+[3]สรุป!$I$9</f>
        <v>0</v>
      </c>
      <c r="J39" s="33">
        <f>+[3]สรุป!$J$9</f>
        <v>0</v>
      </c>
      <c r="K39" s="33">
        <f>+[3]สรุป!$K$9</f>
        <v>0</v>
      </c>
      <c r="L39" s="33">
        <f>+[3]สรุป!L$9</f>
        <v>0</v>
      </c>
      <c r="M39" s="33">
        <f>+[3]สรุป!$M$9</f>
        <v>0</v>
      </c>
      <c r="N39" s="33">
        <f>+[3]สรุป!$N$9</f>
        <v>0</v>
      </c>
      <c r="O39" s="33">
        <f>+[3]สรุป!$O$9</f>
        <v>0</v>
      </c>
      <c r="P39" s="33">
        <f>+[3]สรุป!$P$9</f>
        <v>0</v>
      </c>
      <c r="Q39" s="33">
        <f>+[3]สรุป!Q$9</f>
        <v>0</v>
      </c>
      <c r="R39" s="33">
        <f>+[3]สรุป!R$9</f>
        <v>0</v>
      </c>
    </row>
    <row r="40" spans="1:18" s="28" customFormat="1">
      <c r="A40" s="26" t="s">
        <v>79</v>
      </c>
      <c r="B40" s="34">
        <f>SUM(B41:B42)</f>
        <v>851290</v>
      </c>
      <c r="C40" s="34">
        <f t="shared" ref="C40:R40" si="10">SUM(C41:C42)</f>
        <v>529310</v>
      </c>
      <c r="D40" s="34">
        <f t="shared" si="10"/>
        <v>0</v>
      </c>
      <c r="E40" s="34">
        <f t="shared" si="10"/>
        <v>0</v>
      </c>
      <c r="F40" s="34">
        <f t="shared" si="10"/>
        <v>529310</v>
      </c>
      <c r="G40" s="34">
        <f t="shared" si="10"/>
        <v>0</v>
      </c>
      <c r="H40" s="34">
        <f t="shared" si="10"/>
        <v>0</v>
      </c>
      <c r="I40" s="34">
        <f t="shared" si="10"/>
        <v>0</v>
      </c>
      <c r="J40" s="34">
        <f t="shared" si="10"/>
        <v>0</v>
      </c>
      <c r="K40" s="34">
        <f t="shared" si="10"/>
        <v>851290</v>
      </c>
      <c r="L40" s="34">
        <f t="shared" si="10"/>
        <v>529310</v>
      </c>
      <c r="M40" s="34">
        <f t="shared" si="10"/>
        <v>0</v>
      </c>
      <c r="N40" s="34">
        <f t="shared" si="10"/>
        <v>20300</v>
      </c>
      <c r="O40" s="34">
        <f t="shared" si="10"/>
        <v>0</v>
      </c>
      <c r="P40" s="34">
        <f t="shared" si="10"/>
        <v>290033.05000000005</v>
      </c>
      <c r="Q40" s="34">
        <f t="shared" si="10"/>
        <v>218976.94999999995</v>
      </c>
      <c r="R40" s="34">
        <f t="shared" si="10"/>
        <v>540956.94999999995</v>
      </c>
    </row>
    <row r="41" spans="1:18">
      <c r="A41" s="24" t="s">
        <v>75</v>
      </c>
      <c r="B41" s="33">
        <f>+[17]สรุป!$B$5</f>
        <v>851290</v>
      </c>
      <c r="C41" s="33">
        <f>+[17]สรุป!$C$5</f>
        <v>529310</v>
      </c>
      <c r="D41" s="33">
        <f>+[17]สรุป!$D$5</f>
        <v>0</v>
      </c>
      <c r="E41" s="33">
        <f>+[17]สรุป!$E$5</f>
        <v>0</v>
      </c>
      <c r="F41" s="33">
        <f>SUM(C41:E41)</f>
        <v>529310</v>
      </c>
      <c r="G41" s="33">
        <f>+[17]สรุป!$G$5</f>
        <v>0</v>
      </c>
      <c r="H41" s="33">
        <f>+[17]สรุป!$H$5</f>
        <v>0</v>
      </c>
      <c r="I41" s="33">
        <f>+[17]สรุป!$I$5</f>
        <v>0</v>
      </c>
      <c r="J41" s="33">
        <f>+[17]สรุป!$J$5</f>
        <v>0</v>
      </c>
      <c r="K41" s="33">
        <f>+[17]สรุป!$K$5</f>
        <v>851290</v>
      </c>
      <c r="L41" s="33">
        <f>+[17]สรุป!L$5</f>
        <v>529310</v>
      </c>
      <c r="M41" s="33">
        <f>+[17]สรุป!$M$5</f>
        <v>0</v>
      </c>
      <c r="N41" s="33">
        <f>+[17]สรุป!$N$5</f>
        <v>20300</v>
      </c>
      <c r="O41" s="33">
        <f>+[17]สรุป!$O$5</f>
        <v>0</v>
      </c>
      <c r="P41" s="33">
        <f>+[17]สรุป!$P$5</f>
        <v>290033.05000000005</v>
      </c>
      <c r="Q41" s="33">
        <f>+[17]สรุป!Q$5</f>
        <v>218976.94999999995</v>
      </c>
      <c r="R41" s="33">
        <f>+[17]สรุป!R$5</f>
        <v>540956.94999999995</v>
      </c>
    </row>
    <row r="42" spans="1:18">
      <c r="A42" s="24" t="s">
        <v>76</v>
      </c>
      <c r="B42" s="33">
        <f>+[17]สรุป!$B$7</f>
        <v>0</v>
      </c>
      <c r="C42" s="33">
        <f>+[17]สรุป!$C$7</f>
        <v>0</v>
      </c>
      <c r="D42" s="33">
        <f>+[17]สรุป!$D$7</f>
        <v>0</v>
      </c>
      <c r="E42" s="33">
        <f>+[17]สรุป!$E$7</f>
        <v>0</v>
      </c>
      <c r="F42" s="33">
        <f>+[17]สรุป!F$7</f>
        <v>0</v>
      </c>
      <c r="G42" s="33">
        <f>+[17]สรุป!$G$7</f>
        <v>0</v>
      </c>
      <c r="H42" s="33">
        <f>+[17]สรุป!$H$7</f>
        <v>0</v>
      </c>
      <c r="I42" s="33">
        <f>+[17]สรุป!$I$7</f>
        <v>0</v>
      </c>
      <c r="J42" s="33">
        <f>+[17]สรุป!$J$7</f>
        <v>0</v>
      </c>
      <c r="K42" s="33">
        <f>+[17]สรุป!$K$7</f>
        <v>0</v>
      </c>
      <c r="L42" s="33">
        <f>+[17]สรุป!L$7</f>
        <v>0</v>
      </c>
      <c r="M42" s="33">
        <f>+[17]สรุป!$M$7</f>
        <v>0</v>
      </c>
      <c r="N42" s="33">
        <f>+[17]สรุป!$N$7</f>
        <v>0</v>
      </c>
      <c r="O42" s="33">
        <f>+[17]สรุป!$O$7</f>
        <v>0</v>
      </c>
      <c r="P42" s="33">
        <f>+[17]สรุป!$P$7</f>
        <v>0</v>
      </c>
      <c r="Q42" s="33">
        <f>+[17]สรุป!Q$7</f>
        <v>0</v>
      </c>
      <c r="R42" s="33">
        <f>+[17]สรุป!R$7</f>
        <v>0</v>
      </c>
    </row>
    <row r="43" spans="1:18" s="28" customFormat="1">
      <c r="A43" s="26" t="s">
        <v>80</v>
      </c>
      <c r="B43" s="34">
        <f>SUM(B44:B45)</f>
        <v>629600</v>
      </c>
      <c r="C43" s="34">
        <f t="shared" ref="C43:R43" si="11">SUM(C44:C45)</f>
        <v>314800</v>
      </c>
      <c r="D43" s="34">
        <f t="shared" si="11"/>
        <v>0</v>
      </c>
      <c r="E43" s="34">
        <f t="shared" si="11"/>
        <v>0</v>
      </c>
      <c r="F43" s="34">
        <f t="shared" si="11"/>
        <v>314800</v>
      </c>
      <c r="G43" s="34">
        <f t="shared" si="11"/>
        <v>0</v>
      </c>
      <c r="H43" s="34">
        <f t="shared" si="11"/>
        <v>0</v>
      </c>
      <c r="I43" s="34">
        <f t="shared" si="11"/>
        <v>0</v>
      </c>
      <c r="J43" s="34">
        <f t="shared" si="11"/>
        <v>0</v>
      </c>
      <c r="K43" s="34">
        <f t="shared" si="11"/>
        <v>629600</v>
      </c>
      <c r="L43" s="34">
        <f t="shared" si="11"/>
        <v>314800</v>
      </c>
      <c r="M43" s="34">
        <f t="shared" si="11"/>
        <v>0</v>
      </c>
      <c r="N43" s="34">
        <f t="shared" si="11"/>
        <v>0</v>
      </c>
      <c r="O43" s="34">
        <f t="shared" si="11"/>
        <v>0</v>
      </c>
      <c r="P43" s="34">
        <f t="shared" si="11"/>
        <v>162115.90000000002</v>
      </c>
      <c r="Q43" s="34">
        <f t="shared" si="11"/>
        <v>152684.09999999998</v>
      </c>
      <c r="R43" s="34">
        <f t="shared" si="11"/>
        <v>467484.1</v>
      </c>
    </row>
    <row r="44" spans="1:18">
      <c r="A44" s="24" t="s">
        <v>75</v>
      </c>
      <c r="B44" s="33">
        <f>+[4]สรุป!$B$7</f>
        <v>629600</v>
      </c>
      <c r="C44" s="33">
        <f>+[4]สรุป!$C$7</f>
        <v>314800</v>
      </c>
      <c r="D44" s="33">
        <f>+[4]สรุป!$D$7</f>
        <v>0</v>
      </c>
      <c r="E44" s="33">
        <f>+[4]สรุป!$E$7</f>
        <v>0</v>
      </c>
      <c r="F44" s="33">
        <f>SUM(C44:E44)</f>
        <v>314800</v>
      </c>
      <c r="G44" s="33">
        <f>+[4]สรุป!$G$7</f>
        <v>0</v>
      </c>
      <c r="H44" s="33">
        <f>+[4]สรุป!$H$7</f>
        <v>0</v>
      </c>
      <c r="I44" s="33">
        <f>+[4]สรุป!$I$7</f>
        <v>0</v>
      </c>
      <c r="J44" s="33">
        <f>+[4]สรุป!$J$7</f>
        <v>0</v>
      </c>
      <c r="K44" s="33">
        <f>+[4]สรุป!$K$7</f>
        <v>629600</v>
      </c>
      <c r="L44" s="33">
        <f>+[4]สรุป!L$7</f>
        <v>314800</v>
      </c>
      <c r="M44" s="33">
        <f>+[4]สรุป!$M$7</f>
        <v>0</v>
      </c>
      <c r="N44" s="33">
        <f>+[4]สรุป!$N$7</f>
        <v>0</v>
      </c>
      <c r="O44" s="33">
        <f>+[4]สรุป!$O$7</f>
        <v>0</v>
      </c>
      <c r="P44" s="247">
        <f>+[4]สรุป!$P$7</f>
        <v>162115.90000000002</v>
      </c>
      <c r="Q44" s="33">
        <f>+[4]สรุป!Q$7</f>
        <v>152684.09999999998</v>
      </c>
      <c r="R44" s="33">
        <f>+[4]สรุป!R$7</f>
        <v>467484.1</v>
      </c>
    </row>
    <row r="45" spans="1:18">
      <c r="A45" s="24" t="s">
        <v>76</v>
      </c>
      <c r="B45" s="33">
        <f>+[4]สรุป!$B$9</f>
        <v>0</v>
      </c>
      <c r="C45" s="33">
        <f>+[4]สรุป!$C$9</f>
        <v>0</v>
      </c>
      <c r="D45" s="33">
        <f>+[4]สรุป!$D$9</f>
        <v>0</v>
      </c>
      <c r="E45" s="33">
        <f>+[4]สรุป!$E$9</f>
        <v>0</v>
      </c>
      <c r="F45" s="33">
        <f>+[4]สรุป!F$9</f>
        <v>0</v>
      </c>
      <c r="G45" s="33">
        <f>+[4]สรุป!$G$9</f>
        <v>0</v>
      </c>
      <c r="H45" s="33">
        <f>+[4]สรุป!$H$9</f>
        <v>0</v>
      </c>
      <c r="I45" s="33">
        <f>+[4]สรุป!$I$9</f>
        <v>0</v>
      </c>
      <c r="J45" s="33">
        <f>+[4]สรุป!$J$9</f>
        <v>0</v>
      </c>
      <c r="K45" s="33">
        <f>+[4]สรุป!$K$9</f>
        <v>0</v>
      </c>
      <c r="L45" s="33">
        <f>+[4]สรุป!L$9</f>
        <v>0</v>
      </c>
      <c r="M45" s="33">
        <f>+[4]สรุป!$M$9</f>
        <v>0</v>
      </c>
      <c r="N45" s="33">
        <f>+[4]สรุป!$N$9</f>
        <v>0</v>
      </c>
      <c r="O45" s="33">
        <f>+[4]สรุป!$O$9</f>
        <v>0</v>
      </c>
      <c r="P45" s="247">
        <f>+[4]สรุป!$P$9</f>
        <v>0</v>
      </c>
      <c r="Q45" s="33">
        <f>+[4]สรุป!Q$9</f>
        <v>0</v>
      </c>
      <c r="R45" s="33">
        <f>+[4]สรุป!R$9</f>
        <v>0</v>
      </c>
    </row>
    <row r="46" spans="1:18" s="28" customFormat="1">
      <c r="A46" s="26" t="s">
        <v>81</v>
      </c>
      <c r="B46" s="34">
        <f>SUM(B47:B48)</f>
        <v>2572980</v>
      </c>
      <c r="C46" s="34">
        <f t="shared" ref="C46:R46" si="12">SUM(C47:C48)</f>
        <v>1570280</v>
      </c>
      <c r="D46" s="34">
        <f t="shared" si="12"/>
        <v>0</v>
      </c>
      <c r="E46" s="34">
        <f t="shared" si="12"/>
        <v>0</v>
      </c>
      <c r="F46" s="34">
        <f t="shared" si="12"/>
        <v>1570280</v>
      </c>
      <c r="G46" s="34">
        <f t="shared" si="12"/>
        <v>382500</v>
      </c>
      <c r="H46" s="34">
        <f t="shared" si="12"/>
        <v>0</v>
      </c>
      <c r="I46" s="34">
        <f t="shared" si="12"/>
        <v>0</v>
      </c>
      <c r="J46" s="34">
        <f t="shared" si="12"/>
        <v>0</v>
      </c>
      <c r="K46" s="34">
        <f t="shared" si="12"/>
        <v>2955480</v>
      </c>
      <c r="L46" s="34">
        <f t="shared" si="12"/>
        <v>1952780</v>
      </c>
      <c r="M46" s="34">
        <f t="shared" si="12"/>
        <v>0</v>
      </c>
      <c r="N46" s="34">
        <f t="shared" si="12"/>
        <v>47340</v>
      </c>
      <c r="O46" s="34">
        <f t="shared" si="12"/>
        <v>32027.05</v>
      </c>
      <c r="P46" s="248">
        <f t="shared" si="12"/>
        <v>753880</v>
      </c>
      <c r="Q46" s="34">
        <f t="shared" si="12"/>
        <v>1119532.95</v>
      </c>
      <c r="R46" s="34">
        <f t="shared" si="12"/>
        <v>2122232.9500000002</v>
      </c>
    </row>
    <row r="47" spans="1:18">
      <c r="A47" s="24" t="s">
        <v>75</v>
      </c>
      <c r="B47" s="33">
        <f>+[5]สรุป!$B$7</f>
        <v>2572980</v>
      </c>
      <c r="C47" s="33">
        <f>+[5]สรุป!$C$7</f>
        <v>1570280</v>
      </c>
      <c r="D47" s="33">
        <f>+[5]สรุป!$D$7</f>
        <v>0</v>
      </c>
      <c r="E47" s="33">
        <f>+[5]สรุป!$E$7</f>
        <v>0</v>
      </c>
      <c r="F47" s="33">
        <f>SUM(C47:E47)</f>
        <v>1570280</v>
      </c>
      <c r="G47" s="33">
        <f>+[5]สรุป!$G$7</f>
        <v>0</v>
      </c>
      <c r="H47" s="33">
        <f>+[5]สรุป!$H$7</f>
        <v>0</v>
      </c>
      <c r="I47" s="33">
        <f>+[5]สรุป!$I$7</f>
        <v>0</v>
      </c>
      <c r="J47" s="33">
        <f>+[5]สรุป!$J$7</f>
        <v>0</v>
      </c>
      <c r="K47" s="33">
        <f>+[5]สรุป!$K$7</f>
        <v>2572980</v>
      </c>
      <c r="L47" s="33">
        <f>+[5]สรุป!L$7</f>
        <v>1570280</v>
      </c>
      <c r="M47" s="33">
        <f>+[5]สรุป!$M$7</f>
        <v>0</v>
      </c>
      <c r="N47" s="33">
        <f>+[5]สรุป!$N$7</f>
        <v>47340</v>
      </c>
      <c r="O47" s="33">
        <f>+[5]สรุป!$O$7</f>
        <v>32027.05</v>
      </c>
      <c r="P47" s="247">
        <f>+[5]สรุป!$P$7</f>
        <v>753880</v>
      </c>
      <c r="Q47" s="33">
        <f>+[5]สรุป!Q$7</f>
        <v>737032.95</v>
      </c>
      <c r="R47" s="33">
        <f>+[5]สรุป!R$7</f>
        <v>1739732.95</v>
      </c>
    </row>
    <row r="48" spans="1:18">
      <c r="A48" s="24" t="s">
        <v>76</v>
      </c>
      <c r="B48" s="33">
        <f>+[5]สรุป!$B$13</f>
        <v>0</v>
      </c>
      <c r="C48" s="33">
        <f>+[5]สรุป!$C$13</f>
        <v>0</v>
      </c>
      <c r="D48" s="33">
        <f>+[5]สรุป!$D$13</f>
        <v>0</v>
      </c>
      <c r="E48" s="33">
        <f>+[5]สรุป!$E$13</f>
        <v>0</v>
      </c>
      <c r="F48" s="33">
        <f>+[5]สรุป!F$13</f>
        <v>0</v>
      </c>
      <c r="G48" s="33">
        <f>+[5]สรุป!$G$13</f>
        <v>382500</v>
      </c>
      <c r="H48" s="33">
        <f>+[5]สรุป!$H$13</f>
        <v>0</v>
      </c>
      <c r="I48" s="33">
        <f>+[5]สรุป!$I$13</f>
        <v>0</v>
      </c>
      <c r="J48" s="33">
        <f>+[5]สรุป!$J$13</f>
        <v>0</v>
      </c>
      <c r="K48" s="33">
        <f>+[5]สรุป!$K$13</f>
        <v>382500</v>
      </c>
      <c r="L48" s="33">
        <f>+[5]สรุป!L$13</f>
        <v>382500</v>
      </c>
      <c r="M48" s="33">
        <f>+[5]สรุป!$M$13</f>
        <v>0</v>
      </c>
      <c r="N48" s="33">
        <f>+[5]สรุป!$N$13</f>
        <v>0</v>
      </c>
      <c r="O48" s="33">
        <f>+[5]สรุป!$O$13</f>
        <v>0</v>
      </c>
      <c r="P48" s="247">
        <f>+[5]สรุป!$P$13</f>
        <v>0</v>
      </c>
      <c r="Q48" s="33">
        <f>+[5]สรุป!Q$13</f>
        <v>382500</v>
      </c>
      <c r="R48" s="33">
        <f>+[5]สรุป!R$13</f>
        <v>382500</v>
      </c>
    </row>
    <row r="49" spans="1:18" s="28" customFormat="1">
      <c r="A49" s="26" t="s">
        <v>82</v>
      </c>
      <c r="B49" s="34">
        <f>SUM(B50:B51)</f>
        <v>8212570</v>
      </c>
      <c r="C49" s="34">
        <f t="shared" ref="C49:R49" si="13">SUM(C50:C51)</f>
        <v>4771320</v>
      </c>
      <c r="D49" s="34">
        <f t="shared" si="13"/>
        <v>0</v>
      </c>
      <c r="E49" s="34">
        <f t="shared" si="13"/>
        <v>0</v>
      </c>
      <c r="F49" s="34">
        <f t="shared" si="13"/>
        <v>4771320</v>
      </c>
      <c r="G49" s="34">
        <f t="shared" si="13"/>
        <v>0</v>
      </c>
      <c r="H49" s="34">
        <f t="shared" si="13"/>
        <v>0</v>
      </c>
      <c r="I49" s="34">
        <f t="shared" si="13"/>
        <v>0</v>
      </c>
      <c r="J49" s="34">
        <f t="shared" si="13"/>
        <v>0</v>
      </c>
      <c r="K49" s="34">
        <f t="shared" si="13"/>
        <v>8212570</v>
      </c>
      <c r="L49" s="34">
        <f t="shared" si="13"/>
        <v>4771320</v>
      </c>
      <c r="M49" s="34">
        <f t="shared" si="13"/>
        <v>0</v>
      </c>
      <c r="N49" s="34">
        <f t="shared" si="13"/>
        <v>9710</v>
      </c>
      <c r="O49" s="34">
        <f t="shared" si="13"/>
        <v>242366.34</v>
      </c>
      <c r="P49" s="248">
        <f t="shared" si="13"/>
        <v>1795551.48</v>
      </c>
      <c r="Q49" s="34">
        <f t="shared" si="13"/>
        <v>2723692.18</v>
      </c>
      <c r="R49" s="34">
        <f t="shared" si="13"/>
        <v>6164942.1799999997</v>
      </c>
    </row>
    <row r="50" spans="1:18">
      <c r="A50" s="24" t="s">
        <v>75</v>
      </c>
      <c r="B50" s="33">
        <f>+[6]สรุป!$B$7</f>
        <v>8212570</v>
      </c>
      <c r="C50" s="33">
        <f>+[6]สรุป!$C$7</f>
        <v>4771320</v>
      </c>
      <c r="D50" s="33">
        <f>+[6]สรุป!$D$7</f>
        <v>0</v>
      </c>
      <c r="E50" s="33">
        <f>+[6]สรุป!$E$7</f>
        <v>0</v>
      </c>
      <c r="F50" s="33">
        <f>SUM(C50:E50)</f>
        <v>4771320</v>
      </c>
      <c r="G50" s="33">
        <f>+[6]สรุป!$G$7</f>
        <v>0</v>
      </c>
      <c r="H50" s="33">
        <f>+[6]สรุป!$H$7</f>
        <v>0</v>
      </c>
      <c r="I50" s="33">
        <f>+[6]สรุป!$I$7</f>
        <v>0</v>
      </c>
      <c r="J50" s="33">
        <f>+[6]สรุป!$J$7</f>
        <v>0</v>
      </c>
      <c r="K50" s="33">
        <f>+[6]สรุป!$K$7</f>
        <v>8212570</v>
      </c>
      <c r="L50" s="33">
        <f>+[6]สรุป!L$7</f>
        <v>4771320</v>
      </c>
      <c r="M50" s="33">
        <f>+[6]สรุป!$M$7</f>
        <v>0</v>
      </c>
      <c r="N50" s="33">
        <f>+[6]สรุป!$N$7</f>
        <v>9710</v>
      </c>
      <c r="O50" s="33">
        <f>+[6]สรุป!$O$7</f>
        <v>242366.34</v>
      </c>
      <c r="P50" s="247">
        <f>+[6]สรุป!$P$7</f>
        <v>1795551.48</v>
      </c>
      <c r="Q50" s="33">
        <f>+[6]สรุป!Q$7</f>
        <v>2723692.18</v>
      </c>
      <c r="R50" s="33">
        <f>+[6]สรุป!R$7</f>
        <v>6164942.1799999997</v>
      </c>
    </row>
    <row r="51" spans="1:18">
      <c r="A51" s="24" t="s">
        <v>76</v>
      </c>
      <c r="B51" s="33">
        <f>+[6]สรุป!$B$13</f>
        <v>0</v>
      </c>
      <c r="C51" s="33">
        <f>+[6]สรุป!$C$13</f>
        <v>0</v>
      </c>
      <c r="D51" s="33">
        <f>+[6]สรุป!$D$13</f>
        <v>0</v>
      </c>
      <c r="E51" s="33">
        <f>+[6]สรุป!$E$13</f>
        <v>0</v>
      </c>
      <c r="F51" s="33">
        <f>+[6]สรุป!F$13</f>
        <v>0</v>
      </c>
      <c r="G51" s="33">
        <f>+[6]สรุป!$G$13</f>
        <v>0</v>
      </c>
      <c r="H51" s="33">
        <f>+[6]สรุป!$H$13</f>
        <v>0</v>
      </c>
      <c r="I51" s="33">
        <f>+[6]สรุป!$I$13</f>
        <v>0</v>
      </c>
      <c r="J51" s="33">
        <f>+[6]สรุป!$J$13</f>
        <v>0</v>
      </c>
      <c r="K51" s="33">
        <f>+[6]สรุป!$K$13</f>
        <v>0</v>
      </c>
      <c r="L51" s="33">
        <f>+[6]สรุป!L$13</f>
        <v>0</v>
      </c>
      <c r="M51" s="33">
        <f>+[6]สรุป!$M$13</f>
        <v>0</v>
      </c>
      <c r="N51" s="33">
        <f>+[6]สรุป!$N$13</f>
        <v>0</v>
      </c>
      <c r="O51" s="33">
        <f>+[6]สรุป!$O$13</f>
        <v>0</v>
      </c>
      <c r="P51" s="247">
        <f>+[6]สรุป!$P$13</f>
        <v>0</v>
      </c>
      <c r="Q51" s="33">
        <f>+[6]สรุป!Q$13</f>
        <v>0</v>
      </c>
      <c r="R51" s="33">
        <f>+[6]สรุป!R$13</f>
        <v>0</v>
      </c>
    </row>
    <row r="52" spans="1:18" s="28" customFormat="1">
      <c r="A52" s="26" t="s">
        <v>83</v>
      </c>
      <c r="B52" s="34">
        <f>SUM(B53:B54)</f>
        <v>2250460</v>
      </c>
      <c r="C52" s="34">
        <f t="shared" ref="C52:R52" si="14">SUM(C53:C54)</f>
        <v>1267710</v>
      </c>
      <c r="D52" s="34">
        <f t="shared" si="14"/>
        <v>0</v>
      </c>
      <c r="E52" s="34">
        <f t="shared" si="14"/>
        <v>0</v>
      </c>
      <c r="F52" s="34">
        <f t="shared" si="14"/>
        <v>1267710</v>
      </c>
      <c r="G52" s="34">
        <f t="shared" si="14"/>
        <v>0</v>
      </c>
      <c r="H52" s="34">
        <f t="shared" si="14"/>
        <v>0</v>
      </c>
      <c r="I52" s="34">
        <f t="shared" si="14"/>
        <v>0</v>
      </c>
      <c r="J52" s="34">
        <f t="shared" si="14"/>
        <v>0</v>
      </c>
      <c r="K52" s="34">
        <f t="shared" si="14"/>
        <v>2250460</v>
      </c>
      <c r="L52" s="34">
        <f t="shared" si="14"/>
        <v>1267710</v>
      </c>
      <c r="M52" s="34">
        <f t="shared" si="14"/>
        <v>0</v>
      </c>
      <c r="N52" s="34">
        <f t="shared" si="14"/>
        <v>1787</v>
      </c>
      <c r="O52" s="34">
        <f t="shared" si="14"/>
        <v>0</v>
      </c>
      <c r="P52" s="248">
        <f t="shared" si="14"/>
        <v>484585.64</v>
      </c>
      <c r="Q52" s="34">
        <f t="shared" si="14"/>
        <v>781337.36</v>
      </c>
      <c r="R52" s="34">
        <f t="shared" si="14"/>
        <v>1764087.3599999999</v>
      </c>
    </row>
    <row r="53" spans="1:18">
      <c r="A53" s="24" t="s">
        <v>75</v>
      </c>
      <c r="B53" s="33">
        <f>+[7]สรุป!$B$7</f>
        <v>2250460</v>
      </c>
      <c r="C53" s="33">
        <f>+[7]สรุป!$C$7</f>
        <v>1267710</v>
      </c>
      <c r="D53" s="33">
        <f>+[7]สรุป!$D$7</f>
        <v>0</v>
      </c>
      <c r="E53" s="33">
        <f>+[7]สรุป!$E$7</f>
        <v>0</v>
      </c>
      <c r="F53" s="33">
        <f>SUM(C53:E53)</f>
        <v>1267710</v>
      </c>
      <c r="G53" s="33">
        <f>+[7]สรุป!$G$7</f>
        <v>0</v>
      </c>
      <c r="H53" s="33">
        <f>+[7]สรุป!$H$7</f>
        <v>0</v>
      </c>
      <c r="I53" s="33">
        <f>+[7]สรุป!$I$7</f>
        <v>0</v>
      </c>
      <c r="J53" s="33">
        <f>+[7]สรุป!$J$7</f>
        <v>0</v>
      </c>
      <c r="K53" s="33">
        <f>+[7]สรุป!$K$7</f>
        <v>2250460</v>
      </c>
      <c r="L53" s="33">
        <f>+[7]สรุป!L$7</f>
        <v>1267710</v>
      </c>
      <c r="M53" s="33">
        <f>+[7]สรุป!$M$7</f>
        <v>0</v>
      </c>
      <c r="N53" s="33">
        <f>+[7]สรุป!$N$7</f>
        <v>1787</v>
      </c>
      <c r="O53" s="33">
        <f>+[7]สรุป!$O$7</f>
        <v>0</v>
      </c>
      <c r="P53" s="247">
        <f>+[7]สรุป!$P$7</f>
        <v>484585.64</v>
      </c>
      <c r="Q53" s="33">
        <f>+[7]สรุป!Q$7</f>
        <v>781337.36</v>
      </c>
      <c r="R53" s="33">
        <f>+[7]สรุป!R$7</f>
        <v>1764087.3599999999</v>
      </c>
    </row>
    <row r="54" spans="1:18">
      <c r="A54" s="24" t="s">
        <v>76</v>
      </c>
      <c r="B54" s="33">
        <f>+[7]สรุป!$B$12</f>
        <v>0</v>
      </c>
      <c r="C54" s="33">
        <f>+[7]สรุป!$C$12</f>
        <v>0</v>
      </c>
      <c r="D54" s="33">
        <f>+[7]สรุป!$D$12</f>
        <v>0</v>
      </c>
      <c r="E54" s="33">
        <f>+[7]สรุป!$E$12</f>
        <v>0</v>
      </c>
      <c r="F54" s="33">
        <f>+[7]สรุป!F$12</f>
        <v>0</v>
      </c>
      <c r="G54" s="33">
        <f>+[7]สรุป!$G$12</f>
        <v>0</v>
      </c>
      <c r="H54" s="33">
        <f>+[7]สรุป!$H$12</f>
        <v>0</v>
      </c>
      <c r="I54" s="33">
        <f>+[7]สรุป!$I$12</f>
        <v>0</v>
      </c>
      <c r="J54" s="33">
        <f>+[7]สรุป!$J$12</f>
        <v>0</v>
      </c>
      <c r="K54" s="33">
        <f>+[7]สรุป!$K$12</f>
        <v>0</v>
      </c>
      <c r="L54" s="33">
        <f>+[7]สรุป!L$12</f>
        <v>0</v>
      </c>
      <c r="M54" s="33">
        <f>+[7]สรุป!$M$12</f>
        <v>0</v>
      </c>
      <c r="N54" s="33">
        <f>+[7]สรุป!$N$12</f>
        <v>0</v>
      </c>
      <c r="O54" s="33">
        <f>+[7]สรุป!$O$12</f>
        <v>0</v>
      </c>
      <c r="P54" s="247">
        <f>+[7]สรุป!$P$12</f>
        <v>0</v>
      </c>
      <c r="Q54" s="33">
        <f>+[7]สรุป!Q$12</f>
        <v>0</v>
      </c>
      <c r="R54" s="33">
        <f>+[7]สรุป!R$12</f>
        <v>0</v>
      </c>
    </row>
    <row r="55" spans="1:18" s="28" customFormat="1">
      <c r="A55" s="26" t="s">
        <v>84</v>
      </c>
      <c r="B55" s="34">
        <f>SUM(B56:B57)</f>
        <v>7047110</v>
      </c>
      <c r="C55" s="34">
        <f t="shared" ref="C55:R55" si="15">SUM(C56:C57)</f>
        <v>4442710</v>
      </c>
      <c r="D55" s="34">
        <f t="shared" si="15"/>
        <v>0</v>
      </c>
      <c r="E55" s="34">
        <f t="shared" si="15"/>
        <v>0</v>
      </c>
      <c r="F55" s="34">
        <f t="shared" si="15"/>
        <v>4442710</v>
      </c>
      <c r="G55" s="34">
        <f t="shared" si="15"/>
        <v>384000</v>
      </c>
      <c r="H55" s="34">
        <f t="shared" si="15"/>
        <v>0</v>
      </c>
      <c r="I55" s="34">
        <f t="shared" si="15"/>
        <v>0</v>
      </c>
      <c r="J55" s="34">
        <f t="shared" si="15"/>
        <v>-15000</v>
      </c>
      <c r="K55" s="34">
        <f t="shared" si="15"/>
        <v>7416110</v>
      </c>
      <c r="L55" s="34">
        <f t="shared" si="15"/>
        <v>4811710</v>
      </c>
      <c r="M55" s="34">
        <f t="shared" si="15"/>
        <v>0</v>
      </c>
      <c r="N55" s="34">
        <f t="shared" si="15"/>
        <v>83202</v>
      </c>
      <c r="O55" s="34">
        <f t="shared" si="15"/>
        <v>82627.3</v>
      </c>
      <c r="P55" s="248">
        <f t="shared" si="15"/>
        <v>2524293.19</v>
      </c>
      <c r="Q55" s="34">
        <f t="shared" si="15"/>
        <v>2121587.5100000002</v>
      </c>
      <c r="R55" s="34">
        <f t="shared" si="15"/>
        <v>4725987.51</v>
      </c>
    </row>
    <row r="56" spans="1:18">
      <c r="A56" s="24" t="s">
        <v>75</v>
      </c>
      <c r="B56" s="33">
        <f>+[8]สรุป!$B$7</f>
        <v>7047110</v>
      </c>
      <c r="C56" s="33">
        <f>+[8]สรุป!$C$7</f>
        <v>4442710</v>
      </c>
      <c r="D56" s="33">
        <f>+[8]สรุป!$D$7</f>
        <v>0</v>
      </c>
      <c r="E56" s="33">
        <f>+[8]สรุป!$E$7</f>
        <v>0</v>
      </c>
      <c r="F56" s="33">
        <f>SUM(C56:E56)</f>
        <v>4442710</v>
      </c>
      <c r="G56" s="33">
        <f>+[8]สรุป!$G$7</f>
        <v>0</v>
      </c>
      <c r="H56" s="33">
        <f>+[8]สรุป!$H$7</f>
        <v>0</v>
      </c>
      <c r="I56" s="33">
        <f>+[8]สรุป!$I$7</f>
        <v>0</v>
      </c>
      <c r="J56" s="33">
        <f>+[8]สรุป!$J$7</f>
        <v>-15000</v>
      </c>
      <c r="K56" s="33">
        <f>+[8]สรุป!$K$7</f>
        <v>7032110</v>
      </c>
      <c r="L56" s="33">
        <f>+[8]สรุป!L$7</f>
        <v>4427710</v>
      </c>
      <c r="M56" s="33">
        <f>+[8]สรุป!$M$7</f>
        <v>0</v>
      </c>
      <c r="N56" s="33">
        <f>+[8]สรุป!$N$7</f>
        <v>83202</v>
      </c>
      <c r="O56" s="33">
        <f>+[8]สรุป!$O$7</f>
        <v>82627.3</v>
      </c>
      <c r="P56" s="247">
        <f>+[8]สรุป!$P$7</f>
        <v>2472823.19</v>
      </c>
      <c r="Q56" s="33">
        <f>+[8]สรุป!Q$7</f>
        <v>1789057.5100000002</v>
      </c>
      <c r="R56" s="33">
        <f>+[8]สรุป!R$7</f>
        <v>4393457.51</v>
      </c>
    </row>
    <row r="57" spans="1:18">
      <c r="A57" s="24" t="s">
        <v>76</v>
      </c>
      <c r="B57" s="33">
        <f>+[8]สรุป!$B$13</f>
        <v>0</v>
      </c>
      <c r="C57" s="33">
        <f>+[8]สรุป!$C$13</f>
        <v>0</v>
      </c>
      <c r="D57" s="33">
        <f>+[8]สรุป!$D$13</f>
        <v>0</v>
      </c>
      <c r="E57" s="33">
        <f>+[8]สรุป!$E$13</f>
        <v>0</v>
      </c>
      <c r="F57" s="33">
        <f>+[8]สรุป!F$13</f>
        <v>0</v>
      </c>
      <c r="G57" s="33">
        <f>+[8]สรุป!$G$13</f>
        <v>384000</v>
      </c>
      <c r="H57" s="33">
        <f>+[8]สรุป!$H$13</f>
        <v>0</v>
      </c>
      <c r="I57" s="33">
        <f>+[8]สรุป!$I$13</f>
        <v>0</v>
      </c>
      <c r="J57" s="33">
        <f>+[8]สรุป!$J$13</f>
        <v>0</v>
      </c>
      <c r="K57" s="33">
        <f>+[8]สรุป!$K$13</f>
        <v>384000</v>
      </c>
      <c r="L57" s="33">
        <f>+[8]สรุป!L$13</f>
        <v>384000</v>
      </c>
      <c r="M57" s="33">
        <f>+[8]สรุป!$M$13</f>
        <v>0</v>
      </c>
      <c r="N57" s="33">
        <f>+[8]สรุป!$N$13</f>
        <v>0</v>
      </c>
      <c r="O57" s="33">
        <f>+[8]สรุป!$O$13</f>
        <v>0</v>
      </c>
      <c r="P57" s="247">
        <f>+[8]สรุป!$P$13</f>
        <v>51470</v>
      </c>
      <c r="Q57" s="33">
        <f>+[8]สรุป!Q$13</f>
        <v>332530</v>
      </c>
      <c r="R57" s="33">
        <f>+[8]สรุป!R$13</f>
        <v>332530</v>
      </c>
    </row>
    <row r="58" spans="1:18" s="28" customFormat="1">
      <c r="A58" s="26" t="s">
        <v>85</v>
      </c>
      <c r="B58" s="34">
        <f>SUM(B59:B60)</f>
        <v>5298000</v>
      </c>
      <c r="C58" s="34">
        <f t="shared" ref="C58:R58" si="16">SUM(C59:C60)</f>
        <v>2649000</v>
      </c>
      <c r="D58" s="34">
        <f t="shared" si="16"/>
        <v>0</v>
      </c>
      <c r="E58" s="34">
        <f t="shared" si="16"/>
        <v>0</v>
      </c>
      <c r="F58" s="34">
        <f t="shared" si="16"/>
        <v>2649000</v>
      </c>
      <c r="G58" s="34">
        <f t="shared" si="16"/>
        <v>0</v>
      </c>
      <c r="H58" s="34">
        <f t="shared" si="16"/>
        <v>0</v>
      </c>
      <c r="I58" s="34">
        <f t="shared" si="16"/>
        <v>-358220</v>
      </c>
      <c r="J58" s="34">
        <f t="shared" si="16"/>
        <v>0</v>
      </c>
      <c r="K58" s="34">
        <f t="shared" si="16"/>
        <v>4939780</v>
      </c>
      <c r="L58" s="34">
        <f t="shared" si="16"/>
        <v>2290780</v>
      </c>
      <c r="M58" s="34">
        <f t="shared" si="16"/>
        <v>0</v>
      </c>
      <c r="N58" s="34">
        <f t="shared" si="16"/>
        <v>21050</v>
      </c>
      <c r="O58" s="34">
        <f t="shared" si="16"/>
        <v>9828.3799999999992</v>
      </c>
      <c r="P58" s="248">
        <f t="shared" si="16"/>
        <v>980566.38999999978</v>
      </c>
      <c r="Q58" s="34">
        <f t="shared" si="16"/>
        <v>1279335.2300000004</v>
      </c>
      <c r="R58" s="34">
        <f t="shared" si="16"/>
        <v>3928335.2300000004</v>
      </c>
    </row>
    <row r="59" spans="1:18">
      <c r="A59" s="24" t="s">
        <v>75</v>
      </c>
      <c r="B59" s="33">
        <f>+[9]สรุป!$B$7</f>
        <v>5298000</v>
      </c>
      <c r="C59" s="33">
        <f>+[9]สรุป!$C$7</f>
        <v>2649000</v>
      </c>
      <c r="D59" s="33">
        <f>+[9]สรุป!$D$7</f>
        <v>0</v>
      </c>
      <c r="E59" s="33">
        <f>+[9]สรุป!$E$7</f>
        <v>0</v>
      </c>
      <c r="F59" s="33">
        <f>SUM(C59:E59)</f>
        <v>2649000</v>
      </c>
      <c r="G59" s="33">
        <f>+[9]สรุป!$G$7</f>
        <v>0</v>
      </c>
      <c r="H59" s="33">
        <f>+[9]สรุป!$H$7</f>
        <v>0</v>
      </c>
      <c r="I59" s="33">
        <f>+[9]สรุป!$I$7</f>
        <v>-358220</v>
      </c>
      <c r="J59" s="33">
        <f>+[9]สรุป!$J$7</f>
        <v>0</v>
      </c>
      <c r="K59" s="33">
        <f>+[9]สรุป!$K$7</f>
        <v>4939780</v>
      </c>
      <c r="L59" s="33">
        <f>+[9]สรุป!L$7</f>
        <v>2290780</v>
      </c>
      <c r="M59" s="33">
        <f>+[9]สรุป!$M$7</f>
        <v>0</v>
      </c>
      <c r="N59" s="33">
        <f>+[9]สรุป!$N$7</f>
        <v>21050</v>
      </c>
      <c r="O59" s="33">
        <f>+[9]สรุป!$O$7</f>
        <v>9828.3799999999992</v>
      </c>
      <c r="P59" s="247">
        <f>+[9]สรุป!$P$7</f>
        <v>980566.38999999978</v>
      </c>
      <c r="Q59" s="33">
        <f>+[9]สรุป!Q$7</f>
        <v>1279335.2300000004</v>
      </c>
      <c r="R59" s="33">
        <f>+[9]สรุป!R$7</f>
        <v>3928335.2300000004</v>
      </c>
    </row>
    <row r="60" spans="1:18">
      <c r="A60" s="24" t="s">
        <v>76</v>
      </c>
      <c r="B60" s="33">
        <f>+[9]สรุป!$B$9</f>
        <v>0</v>
      </c>
      <c r="C60" s="33">
        <f>+[9]สรุป!$C$9</f>
        <v>0</v>
      </c>
      <c r="D60" s="33">
        <f>+[9]สรุป!$D$9</f>
        <v>0</v>
      </c>
      <c r="E60" s="33">
        <f>+[9]สรุป!$E$9</f>
        <v>0</v>
      </c>
      <c r="F60" s="33">
        <f>+[9]สรุป!F$9</f>
        <v>0</v>
      </c>
      <c r="G60" s="33">
        <f>+[9]สรุป!$G$9</f>
        <v>0</v>
      </c>
      <c r="H60" s="33">
        <f>+[9]สรุป!$H$9</f>
        <v>0</v>
      </c>
      <c r="I60" s="33">
        <f>+[9]สรุป!$I$9</f>
        <v>0</v>
      </c>
      <c r="J60" s="33">
        <f>+[9]สรุป!$J$9</f>
        <v>0</v>
      </c>
      <c r="K60" s="33">
        <f>+[9]สรุป!$K$9</f>
        <v>0</v>
      </c>
      <c r="L60" s="33">
        <f>+[9]สรุป!L$9</f>
        <v>0</v>
      </c>
      <c r="M60" s="33">
        <f>+[9]สรุป!$M$9</f>
        <v>0</v>
      </c>
      <c r="N60" s="33">
        <f>+[9]สรุป!$N$9</f>
        <v>0</v>
      </c>
      <c r="O60" s="33">
        <f>+[9]สรุป!$O$9</f>
        <v>0</v>
      </c>
      <c r="P60" s="247">
        <f>+[9]สรุป!$P$9</f>
        <v>0</v>
      </c>
      <c r="Q60" s="33">
        <f>+[9]สรุป!Q$9</f>
        <v>0</v>
      </c>
      <c r="R60" s="33">
        <f>+[9]สรุป!R$9</f>
        <v>0</v>
      </c>
    </row>
    <row r="61" spans="1:18" s="28" customFormat="1">
      <c r="A61" s="26" t="s">
        <v>86</v>
      </c>
      <c r="B61" s="34">
        <f>SUM(B62:B63)</f>
        <v>7070230</v>
      </c>
      <c r="C61" s="34">
        <f t="shared" ref="C61:R61" si="17">SUM(C62:C63)</f>
        <v>3588080</v>
      </c>
      <c r="D61" s="34">
        <f t="shared" si="17"/>
        <v>0</v>
      </c>
      <c r="E61" s="34">
        <f t="shared" si="17"/>
        <v>0</v>
      </c>
      <c r="F61" s="34">
        <f t="shared" si="17"/>
        <v>3588080</v>
      </c>
      <c r="G61" s="34">
        <f t="shared" si="17"/>
        <v>0</v>
      </c>
      <c r="H61" s="34">
        <f t="shared" si="17"/>
        <v>0</v>
      </c>
      <c r="I61" s="34">
        <f t="shared" si="17"/>
        <v>0</v>
      </c>
      <c r="J61" s="34">
        <f t="shared" si="17"/>
        <v>0</v>
      </c>
      <c r="K61" s="34">
        <f t="shared" si="17"/>
        <v>7070230</v>
      </c>
      <c r="L61" s="34">
        <f t="shared" si="17"/>
        <v>3588080</v>
      </c>
      <c r="M61" s="34">
        <f t="shared" si="17"/>
        <v>0</v>
      </c>
      <c r="N61" s="34">
        <f t="shared" si="17"/>
        <v>152426</v>
      </c>
      <c r="O61" s="34">
        <f t="shared" si="17"/>
        <v>61000</v>
      </c>
      <c r="P61" s="248">
        <f t="shared" si="17"/>
        <v>559807.55000000005</v>
      </c>
      <c r="Q61" s="34">
        <f t="shared" si="17"/>
        <v>2814846.45</v>
      </c>
      <c r="R61" s="34">
        <f t="shared" si="17"/>
        <v>6296996.4500000002</v>
      </c>
    </row>
    <row r="62" spans="1:18">
      <c r="A62" s="24" t="s">
        <v>75</v>
      </c>
      <c r="B62" s="33">
        <f>+[18]สรุป!$B$5</f>
        <v>7070230</v>
      </c>
      <c r="C62" s="33">
        <f>+[18]สรุป!$C$5</f>
        <v>3588080</v>
      </c>
      <c r="D62" s="33">
        <f>+[18]สรุป!$D$5</f>
        <v>0</v>
      </c>
      <c r="E62" s="33">
        <f>+[18]สรุป!$E$5</f>
        <v>0</v>
      </c>
      <c r="F62" s="33">
        <f>SUM(C62:E62)</f>
        <v>3588080</v>
      </c>
      <c r="G62" s="33">
        <f>+[18]สรุป!$G$5</f>
        <v>0</v>
      </c>
      <c r="H62" s="33">
        <f>+[18]สรุป!$H$5</f>
        <v>0</v>
      </c>
      <c r="I62" s="33">
        <f>+[18]สรุป!$I$5</f>
        <v>0</v>
      </c>
      <c r="J62" s="33">
        <f>+[18]สรุป!$J$5</f>
        <v>0</v>
      </c>
      <c r="K62" s="33">
        <f>+[18]สรุป!$K$5</f>
        <v>7070230</v>
      </c>
      <c r="L62" s="33">
        <f>+[18]สรุป!L$5</f>
        <v>3588080</v>
      </c>
      <c r="M62" s="33">
        <f>+[18]สรุป!$M$5</f>
        <v>0</v>
      </c>
      <c r="N62" s="33">
        <f>+[18]สรุป!$N$5</f>
        <v>152426</v>
      </c>
      <c r="O62" s="33">
        <f>+[18]สรุป!$O$5</f>
        <v>61000</v>
      </c>
      <c r="P62" s="247">
        <f>+[18]สรุป!$P$5</f>
        <v>559807.55000000005</v>
      </c>
      <c r="Q62" s="33">
        <f>+[18]สรุป!Q$5</f>
        <v>2814846.45</v>
      </c>
      <c r="R62" s="33">
        <f>+[18]สรุป!R$5</f>
        <v>6296996.4500000002</v>
      </c>
    </row>
    <row r="63" spans="1:18">
      <c r="A63" s="24" t="s">
        <v>76</v>
      </c>
      <c r="B63" s="33">
        <f>+[18]สรุป!$B$7</f>
        <v>0</v>
      </c>
      <c r="C63" s="33">
        <f>+[18]สรุป!$C$7</f>
        <v>0</v>
      </c>
      <c r="D63" s="33">
        <f>+[18]สรุป!$D$7</f>
        <v>0</v>
      </c>
      <c r="E63" s="33">
        <f>+[18]สรุป!$E$7</f>
        <v>0</v>
      </c>
      <c r="F63" s="33">
        <f>+[18]สรุป!F$7</f>
        <v>0</v>
      </c>
      <c r="G63" s="33">
        <f>+[18]สรุป!$G$7</f>
        <v>0</v>
      </c>
      <c r="H63" s="33">
        <f>+[18]สรุป!$H$7</f>
        <v>0</v>
      </c>
      <c r="I63" s="33">
        <f>+[18]สรุป!$I$7</f>
        <v>0</v>
      </c>
      <c r="J63" s="33">
        <f>+[18]สรุป!$J$7</f>
        <v>0</v>
      </c>
      <c r="K63" s="33">
        <f>+[18]สรุป!$K$7</f>
        <v>0</v>
      </c>
      <c r="L63" s="33">
        <f>+[18]สรุป!L$7</f>
        <v>0</v>
      </c>
      <c r="M63" s="33">
        <f>+[18]สรุป!$M$7</f>
        <v>0</v>
      </c>
      <c r="N63" s="33">
        <f>+[18]สรุป!$N$7</f>
        <v>0</v>
      </c>
      <c r="O63" s="33">
        <f>+[18]สรุป!$O$7</f>
        <v>0</v>
      </c>
      <c r="P63" s="247">
        <f>+[18]สรุป!$P$7</f>
        <v>0</v>
      </c>
      <c r="Q63" s="33">
        <f>+[18]สรุป!Q$7</f>
        <v>0</v>
      </c>
      <c r="R63" s="33">
        <f>+[18]สรุป!R$7</f>
        <v>0</v>
      </c>
    </row>
    <row r="64" spans="1:18" s="28" customFormat="1">
      <c r="A64" s="26" t="s">
        <v>87</v>
      </c>
      <c r="B64" s="34">
        <f>SUM(B65:B66)</f>
        <v>1970124</v>
      </c>
      <c r="C64" s="34">
        <f t="shared" ref="C64:R64" si="18">SUM(C65:C66)</f>
        <v>1393124</v>
      </c>
      <c r="D64" s="34">
        <f t="shared" si="18"/>
        <v>0</v>
      </c>
      <c r="E64" s="34">
        <f t="shared" si="18"/>
        <v>0</v>
      </c>
      <c r="F64" s="34">
        <f t="shared" si="18"/>
        <v>1393124</v>
      </c>
      <c r="G64" s="34">
        <f t="shared" si="18"/>
        <v>426500</v>
      </c>
      <c r="H64" s="34">
        <f t="shared" si="18"/>
        <v>0</v>
      </c>
      <c r="I64" s="34">
        <f t="shared" si="18"/>
        <v>0</v>
      </c>
      <c r="J64" s="34">
        <f t="shared" si="18"/>
        <v>0</v>
      </c>
      <c r="K64" s="34">
        <f t="shared" si="18"/>
        <v>2396624</v>
      </c>
      <c r="L64" s="34">
        <f t="shared" si="18"/>
        <v>1819624</v>
      </c>
      <c r="M64" s="34">
        <f t="shared" si="18"/>
        <v>0</v>
      </c>
      <c r="N64" s="34">
        <f t="shared" si="18"/>
        <v>0</v>
      </c>
      <c r="O64" s="34">
        <f t="shared" si="18"/>
        <v>0</v>
      </c>
      <c r="P64" s="248">
        <f t="shared" si="18"/>
        <v>815092.51</v>
      </c>
      <c r="Q64" s="34">
        <f t="shared" si="18"/>
        <v>1004531.49</v>
      </c>
      <c r="R64" s="34">
        <f t="shared" si="18"/>
        <v>1581531.49</v>
      </c>
    </row>
    <row r="65" spans="1:18">
      <c r="A65" s="24" t="s">
        <v>75</v>
      </c>
      <c r="B65" s="33">
        <f>+[10]สรุป!$B$7</f>
        <v>1970124</v>
      </c>
      <c r="C65" s="33">
        <f>+[10]สรุป!$C$7</f>
        <v>1393124</v>
      </c>
      <c r="D65" s="33">
        <f>+[10]สรุป!$D$7</f>
        <v>0</v>
      </c>
      <c r="E65" s="33">
        <f>+[10]สรุป!$E$7</f>
        <v>0</v>
      </c>
      <c r="F65" s="33">
        <f>SUM(C65:E65)</f>
        <v>1393124</v>
      </c>
      <c r="G65" s="33">
        <f>+[10]สรุป!$G$7</f>
        <v>0</v>
      </c>
      <c r="H65" s="33">
        <f>+[10]สรุป!$H$7</f>
        <v>0</v>
      </c>
      <c r="I65" s="33">
        <f>+[10]สรุป!$I$7</f>
        <v>0</v>
      </c>
      <c r="J65" s="33">
        <f>+[10]สรุป!$J$7</f>
        <v>0</v>
      </c>
      <c r="K65" s="33">
        <f>+[10]สรุป!$K$7</f>
        <v>1970124</v>
      </c>
      <c r="L65" s="33">
        <f>+[10]สรุป!L$7</f>
        <v>1393124</v>
      </c>
      <c r="M65" s="33">
        <f>+[10]สรุป!$M$7</f>
        <v>0</v>
      </c>
      <c r="N65" s="33">
        <f>+[10]สรุป!$N$7</f>
        <v>0</v>
      </c>
      <c r="O65" s="33">
        <f>+[10]สรุป!$O$7</f>
        <v>0</v>
      </c>
      <c r="P65" s="247">
        <f>+[10]สรุป!$P$7</f>
        <v>815092.51</v>
      </c>
      <c r="Q65" s="33">
        <f>+[10]สรุป!Q$7</f>
        <v>578031.49</v>
      </c>
      <c r="R65" s="33">
        <f>+[10]สรุป!R$7</f>
        <v>1155031.49</v>
      </c>
    </row>
    <row r="66" spans="1:18">
      <c r="A66" s="24" t="s">
        <v>76</v>
      </c>
      <c r="B66" s="33">
        <f>+[10]สรุป!$B$13</f>
        <v>0</v>
      </c>
      <c r="C66" s="33">
        <f>+[10]สรุป!$C$13</f>
        <v>0</v>
      </c>
      <c r="D66" s="33">
        <f>+[10]สรุป!$D$13</f>
        <v>0</v>
      </c>
      <c r="E66" s="33">
        <f>+[10]สรุป!$E$13</f>
        <v>0</v>
      </c>
      <c r="F66" s="33">
        <f>+[10]สรุป!F$13</f>
        <v>0</v>
      </c>
      <c r="G66" s="33">
        <f>+[10]สรุป!$G$13</f>
        <v>426500</v>
      </c>
      <c r="H66" s="33">
        <f>+[10]สรุป!$H$13</f>
        <v>0</v>
      </c>
      <c r="I66" s="33">
        <f>+[10]สรุป!$I$13</f>
        <v>0</v>
      </c>
      <c r="J66" s="33">
        <f>+[10]สรุป!$J$13</f>
        <v>0</v>
      </c>
      <c r="K66" s="33">
        <f>+[10]สรุป!$K$13</f>
        <v>426500</v>
      </c>
      <c r="L66" s="33">
        <f>+[10]สรุป!L$13</f>
        <v>426500</v>
      </c>
      <c r="M66" s="33">
        <f>+[10]สรุป!$M$13</f>
        <v>0</v>
      </c>
      <c r="N66" s="33">
        <f>+[10]สรุป!$N$13</f>
        <v>0</v>
      </c>
      <c r="O66" s="33">
        <f>+[10]สรุป!$O$13</f>
        <v>0</v>
      </c>
      <c r="P66" s="247">
        <f>+[10]สรุป!$P$13</f>
        <v>0</v>
      </c>
      <c r="Q66" s="33">
        <f>+[10]สรุป!Q$13</f>
        <v>426500</v>
      </c>
      <c r="R66" s="33">
        <f>+[10]สรุป!R$13</f>
        <v>426500</v>
      </c>
    </row>
    <row r="67" spans="1:18" s="28" customFormat="1">
      <c r="A67" s="26" t="s">
        <v>88</v>
      </c>
      <c r="B67" s="34">
        <f>SUM(B68:B69)</f>
        <v>750180</v>
      </c>
      <c r="C67" s="34">
        <f t="shared" ref="C67:R67" si="19">SUM(C68:C69)</f>
        <v>512830</v>
      </c>
      <c r="D67" s="34">
        <f t="shared" si="19"/>
        <v>0</v>
      </c>
      <c r="E67" s="34">
        <f t="shared" si="19"/>
        <v>0</v>
      </c>
      <c r="F67" s="34">
        <f t="shared" si="19"/>
        <v>512830</v>
      </c>
      <c r="G67" s="34">
        <f t="shared" si="19"/>
        <v>103000</v>
      </c>
      <c r="H67" s="34">
        <f t="shared" si="19"/>
        <v>0</v>
      </c>
      <c r="I67" s="34">
        <f t="shared" si="19"/>
        <v>0</v>
      </c>
      <c r="J67" s="34">
        <f t="shared" si="19"/>
        <v>0</v>
      </c>
      <c r="K67" s="34">
        <f t="shared" si="19"/>
        <v>853180</v>
      </c>
      <c r="L67" s="34">
        <f t="shared" si="19"/>
        <v>615830</v>
      </c>
      <c r="M67" s="34">
        <f t="shared" si="19"/>
        <v>0</v>
      </c>
      <c r="N67" s="34">
        <f t="shared" si="19"/>
        <v>4020</v>
      </c>
      <c r="O67" s="34">
        <f t="shared" si="19"/>
        <v>0</v>
      </c>
      <c r="P67" s="248">
        <f t="shared" si="19"/>
        <v>278538.05000000005</v>
      </c>
      <c r="Q67" s="34">
        <f t="shared" si="19"/>
        <v>333271.94999999995</v>
      </c>
      <c r="R67" s="34">
        <f t="shared" si="19"/>
        <v>570621.94999999995</v>
      </c>
    </row>
    <row r="68" spans="1:18">
      <c r="A68" s="24" t="s">
        <v>75</v>
      </c>
      <c r="B68" s="33">
        <f>+[11]สรุป!$B$7</f>
        <v>750180</v>
      </c>
      <c r="C68" s="33">
        <f>+[11]สรุป!$C$7</f>
        <v>512830</v>
      </c>
      <c r="D68" s="33">
        <f>+[11]สรุป!$D$7</f>
        <v>0</v>
      </c>
      <c r="E68" s="33">
        <f>+[11]สรุป!$E$7</f>
        <v>0</v>
      </c>
      <c r="F68" s="33">
        <f>SUM(C68:E68)</f>
        <v>512830</v>
      </c>
      <c r="G68" s="33">
        <f>+[11]สรุป!$G$7</f>
        <v>0</v>
      </c>
      <c r="H68" s="33">
        <f>+[11]สรุป!$H$7</f>
        <v>0</v>
      </c>
      <c r="I68" s="33">
        <f>+[11]สรุป!$I$7</f>
        <v>0</v>
      </c>
      <c r="J68" s="33">
        <f>+[11]สรุป!$J$7</f>
        <v>0</v>
      </c>
      <c r="K68" s="33">
        <f>+[11]สรุป!$K$7</f>
        <v>750180</v>
      </c>
      <c r="L68" s="33">
        <f>+[11]สรุป!L$7</f>
        <v>512830</v>
      </c>
      <c r="M68" s="33">
        <f>+[11]สรุป!$M$7</f>
        <v>0</v>
      </c>
      <c r="N68" s="33">
        <f>+[11]สรุป!$N$7</f>
        <v>4020</v>
      </c>
      <c r="O68" s="33">
        <f>+[11]สรุป!$O$7</f>
        <v>0</v>
      </c>
      <c r="P68" s="247">
        <f>+[11]สรุป!$P$7</f>
        <v>278538.05000000005</v>
      </c>
      <c r="Q68" s="33">
        <f>+[11]สรุป!Q$7</f>
        <v>230271.94999999998</v>
      </c>
      <c r="R68" s="33">
        <f>+[11]สรุป!R$7</f>
        <v>467621.94999999995</v>
      </c>
    </row>
    <row r="69" spans="1:18">
      <c r="A69" s="24" t="s">
        <v>76</v>
      </c>
      <c r="B69" s="33">
        <f>+[11]สรุป!$B$13</f>
        <v>0</v>
      </c>
      <c r="C69" s="33">
        <f>+[11]สรุป!$C$13</f>
        <v>0</v>
      </c>
      <c r="D69" s="33">
        <f>+[11]สรุป!$D$13</f>
        <v>0</v>
      </c>
      <c r="E69" s="33">
        <f>+[11]สรุป!$E$13</f>
        <v>0</v>
      </c>
      <c r="F69" s="33">
        <f>+[11]สรุป!F$13</f>
        <v>0</v>
      </c>
      <c r="G69" s="33">
        <f>+[11]สรุป!$G$13</f>
        <v>103000</v>
      </c>
      <c r="H69" s="33">
        <f>+[11]สรุป!$H$13</f>
        <v>0</v>
      </c>
      <c r="I69" s="33">
        <f>+[11]สรุป!$I$13</f>
        <v>0</v>
      </c>
      <c r="J69" s="33">
        <f>+[11]สรุป!$J$13</f>
        <v>0</v>
      </c>
      <c r="K69" s="33">
        <f>+[11]สรุป!$K$13</f>
        <v>103000</v>
      </c>
      <c r="L69" s="33">
        <f>+[11]สรุป!L$13</f>
        <v>103000</v>
      </c>
      <c r="M69" s="33">
        <f>+[11]สรุป!$M$13</f>
        <v>0</v>
      </c>
      <c r="N69" s="33">
        <f>+[11]สรุป!$N$13</f>
        <v>0</v>
      </c>
      <c r="O69" s="33">
        <f>+[11]สรุป!$O$13</f>
        <v>0</v>
      </c>
      <c r="P69" s="247">
        <f>+[11]สรุป!$P$13</f>
        <v>0</v>
      </c>
      <c r="Q69" s="33">
        <f>+[11]สรุป!Q$13</f>
        <v>103000</v>
      </c>
      <c r="R69" s="33">
        <f>+[11]สรุป!R$13</f>
        <v>103000</v>
      </c>
    </row>
    <row r="70" spans="1:18" s="28" customFormat="1">
      <c r="A70" s="26" t="s">
        <v>89</v>
      </c>
      <c r="B70" s="34">
        <f>SUM(B71:B72)</f>
        <v>8252090</v>
      </c>
      <c r="C70" s="34">
        <f t="shared" ref="C70:R70" si="20">SUM(C71:C72)</f>
        <v>4294690</v>
      </c>
      <c r="D70" s="34">
        <f t="shared" si="20"/>
        <v>0</v>
      </c>
      <c r="E70" s="34">
        <f t="shared" si="20"/>
        <v>0</v>
      </c>
      <c r="F70" s="34">
        <f t="shared" si="20"/>
        <v>4294690</v>
      </c>
      <c r="G70" s="34">
        <f t="shared" si="20"/>
        <v>0</v>
      </c>
      <c r="H70" s="34">
        <f t="shared" si="20"/>
        <v>0</v>
      </c>
      <c r="I70" s="34">
        <f t="shared" si="20"/>
        <v>-500000</v>
      </c>
      <c r="J70" s="34">
        <f t="shared" si="20"/>
        <v>0</v>
      </c>
      <c r="K70" s="34">
        <f t="shared" si="20"/>
        <v>7752090</v>
      </c>
      <c r="L70" s="34">
        <f t="shared" si="20"/>
        <v>3794690</v>
      </c>
      <c r="M70" s="34">
        <f t="shared" si="20"/>
        <v>0</v>
      </c>
      <c r="N70" s="34">
        <f t="shared" si="20"/>
        <v>350</v>
      </c>
      <c r="O70" s="34">
        <f t="shared" si="20"/>
        <v>5470</v>
      </c>
      <c r="P70" s="248">
        <f t="shared" si="20"/>
        <v>551083.68999999994</v>
      </c>
      <c r="Q70" s="34">
        <f t="shared" si="20"/>
        <v>3237786.31</v>
      </c>
      <c r="R70" s="34">
        <f t="shared" si="20"/>
        <v>7195186.3099999996</v>
      </c>
    </row>
    <row r="71" spans="1:18">
      <c r="A71" s="24" t="s">
        <v>75</v>
      </c>
      <c r="B71" s="33">
        <f>+[12]สรุป!$B$7</f>
        <v>8252090</v>
      </c>
      <c r="C71" s="33">
        <f>+[12]สรุป!$C$7</f>
        <v>4294690</v>
      </c>
      <c r="D71" s="33">
        <f>+[12]สรุป!$D$7</f>
        <v>0</v>
      </c>
      <c r="E71" s="33">
        <f>+[12]สรุป!$E$7</f>
        <v>0</v>
      </c>
      <c r="F71" s="33">
        <f>SUM(C71:E71)</f>
        <v>4294690</v>
      </c>
      <c r="G71" s="33">
        <f>+[12]สรุป!$G$7</f>
        <v>0</v>
      </c>
      <c r="H71" s="33">
        <f>+[12]สรุป!$H$7</f>
        <v>0</v>
      </c>
      <c r="I71" s="33">
        <f>+[12]สรุป!$I$7</f>
        <v>-500000</v>
      </c>
      <c r="J71" s="33">
        <f>+[12]สรุป!$J$7</f>
        <v>0</v>
      </c>
      <c r="K71" s="33">
        <f>+[12]สรุป!$K$7</f>
        <v>7752090</v>
      </c>
      <c r="L71" s="33">
        <f>+[12]สรุป!$L$7</f>
        <v>3794690</v>
      </c>
      <c r="M71" s="33">
        <f>+[12]สรุป!$M$7</f>
        <v>0</v>
      </c>
      <c r="N71" s="33">
        <f>+[12]สรุป!$N$7</f>
        <v>350</v>
      </c>
      <c r="O71" s="33">
        <f>+[12]สรุป!$O$7</f>
        <v>5470</v>
      </c>
      <c r="P71" s="247">
        <f>+[12]สรุป!$P$7</f>
        <v>551083.68999999994</v>
      </c>
      <c r="Q71" s="33">
        <f>+[12]สรุป!Q$7</f>
        <v>3237786.31</v>
      </c>
      <c r="R71" s="33">
        <f>+[12]สรุป!R$7</f>
        <v>7195186.3099999996</v>
      </c>
    </row>
    <row r="72" spans="1:18">
      <c r="A72" s="24" t="s">
        <v>76</v>
      </c>
      <c r="B72" s="33">
        <f>+[12]สรุป!$B$10</f>
        <v>0</v>
      </c>
      <c r="C72" s="33">
        <f>+[12]สรุป!$C$10</f>
        <v>0</v>
      </c>
      <c r="D72" s="33">
        <f>+[12]สรุป!$D$10</f>
        <v>0</v>
      </c>
      <c r="E72" s="33">
        <f>+[12]สรุป!$E$10</f>
        <v>0</v>
      </c>
      <c r="F72" s="33">
        <f>+[12]สรุป!F$10</f>
        <v>0</v>
      </c>
      <c r="G72" s="33">
        <f>+[12]สรุป!$G$10</f>
        <v>0</v>
      </c>
      <c r="H72" s="33">
        <f>+[12]สรุป!$H$10</f>
        <v>0</v>
      </c>
      <c r="I72" s="33">
        <f>+[12]สรุป!$I$10</f>
        <v>0</v>
      </c>
      <c r="J72" s="33">
        <f>+[12]สรุป!$J$10</f>
        <v>0</v>
      </c>
      <c r="K72" s="33">
        <f>+[12]สรุป!$K$10</f>
        <v>0</v>
      </c>
      <c r="L72" s="33">
        <f>+[12]สรุป!L$10</f>
        <v>0</v>
      </c>
      <c r="M72" s="33">
        <f>+[12]สรุป!$M$10</f>
        <v>0</v>
      </c>
      <c r="N72" s="33">
        <f>+[12]สรุป!$N$10</f>
        <v>0</v>
      </c>
      <c r="O72" s="33">
        <f>+[12]สรุป!$O$10</f>
        <v>0</v>
      </c>
      <c r="P72" s="247">
        <f>+[12]สรุป!$P$10</f>
        <v>0</v>
      </c>
      <c r="Q72" s="33">
        <f>+[12]สรุป!Q$10</f>
        <v>0</v>
      </c>
      <c r="R72" s="33">
        <f>+[12]สรุป!R$10</f>
        <v>0</v>
      </c>
    </row>
    <row r="73" spans="1:18" s="28" customFormat="1">
      <c r="A73" s="26" t="s">
        <v>90</v>
      </c>
      <c r="B73" s="34">
        <f>SUM(B74:B75)</f>
        <v>5077970</v>
      </c>
      <c r="C73" s="34">
        <f t="shared" ref="C73:R73" si="21">SUM(C74:C75)</f>
        <v>2575320</v>
      </c>
      <c r="D73" s="34">
        <f t="shared" si="21"/>
        <v>0</v>
      </c>
      <c r="E73" s="34">
        <f t="shared" si="21"/>
        <v>0</v>
      </c>
      <c r="F73" s="34">
        <f t="shared" si="21"/>
        <v>2575320</v>
      </c>
      <c r="G73" s="34">
        <f t="shared" si="21"/>
        <v>17500</v>
      </c>
      <c r="H73" s="34">
        <f t="shared" si="21"/>
        <v>0</v>
      </c>
      <c r="I73" s="34">
        <f t="shared" si="21"/>
        <v>0</v>
      </c>
      <c r="J73" s="34">
        <f t="shared" si="21"/>
        <v>0</v>
      </c>
      <c r="K73" s="34">
        <f t="shared" si="21"/>
        <v>5095470</v>
      </c>
      <c r="L73" s="34">
        <f t="shared" si="21"/>
        <v>2592820</v>
      </c>
      <c r="M73" s="34">
        <f t="shared" si="21"/>
        <v>0</v>
      </c>
      <c r="N73" s="34">
        <f t="shared" si="21"/>
        <v>135595</v>
      </c>
      <c r="O73" s="34">
        <f t="shared" si="21"/>
        <v>0</v>
      </c>
      <c r="P73" s="248">
        <f t="shared" si="21"/>
        <v>2142273.8899999997</v>
      </c>
      <c r="Q73" s="34">
        <f t="shared" si="21"/>
        <v>314951.1100000001</v>
      </c>
      <c r="R73" s="34">
        <f t="shared" si="21"/>
        <v>2817601.1100000003</v>
      </c>
    </row>
    <row r="74" spans="1:18">
      <c r="A74" s="24" t="s">
        <v>75</v>
      </c>
      <c r="B74" s="33">
        <f>+[13]สรุป!$B$7</f>
        <v>5077970</v>
      </c>
      <c r="C74" s="33">
        <f>+[13]สรุป!$C$7</f>
        <v>2575320</v>
      </c>
      <c r="D74" s="33">
        <f>+[13]สรุป!$D$7</f>
        <v>0</v>
      </c>
      <c r="E74" s="33">
        <f>+[13]สรุป!$E$7</f>
        <v>0</v>
      </c>
      <c r="F74" s="33">
        <f>SUM(C74:E74)</f>
        <v>2575320</v>
      </c>
      <c r="G74" s="33">
        <f>+[13]สรุป!$G$7</f>
        <v>0</v>
      </c>
      <c r="H74" s="33">
        <f>+[13]สรุป!$H$7</f>
        <v>0</v>
      </c>
      <c r="I74" s="33">
        <f>+[13]สรุป!$I$7</f>
        <v>0</v>
      </c>
      <c r="J74" s="33">
        <f>+[13]สรุป!$J$7</f>
        <v>0</v>
      </c>
      <c r="K74" s="33">
        <f>+[13]สรุป!$K$7</f>
        <v>5077970</v>
      </c>
      <c r="L74" s="33">
        <f>+[13]สรุป!L$7</f>
        <v>2575320</v>
      </c>
      <c r="M74" s="33">
        <f>+[13]สรุป!$M$7</f>
        <v>0</v>
      </c>
      <c r="N74" s="33">
        <f>+[13]สรุป!$N$7</f>
        <v>135595</v>
      </c>
      <c r="O74" s="33">
        <f>+[13]สรุป!$O$7</f>
        <v>0</v>
      </c>
      <c r="P74" s="247">
        <f>+[13]สรุป!$P$7</f>
        <v>2142273.8899999997</v>
      </c>
      <c r="Q74" s="33">
        <f>+[13]สรุป!Q$7</f>
        <v>297451.1100000001</v>
      </c>
      <c r="R74" s="33">
        <f>+[13]สรุป!R$7</f>
        <v>2800101.1100000003</v>
      </c>
    </row>
    <row r="75" spans="1:18">
      <c r="A75" s="24" t="s">
        <v>76</v>
      </c>
      <c r="B75" s="33">
        <f>+[13]สรุป!$B$13</f>
        <v>0</v>
      </c>
      <c r="C75" s="33">
        <f>+[13]สรุป!$C$13</f>
        <v>0</v>
      </c>
      <c r="D75" s="33">
        <f>+[13]สรุป!$D$13</f>
        <v>0</v>
      </c>
      <c r="E75" s="33">
        <f>+[13]สรุป!$E$13</f>
        <v>0</v>
      </c>
      <c r="F75" s="33">
        <f>+[13]สรุป!F$13</f>
        <v>0</v>
      </c>
      <c r="G75" s="33">
        <f>+[13]สรุป!$G$13</f>
        <v>17500</v>
      </c>
      <c r="H75" s="33">
        <f>+[13]สรุป!$H$13</f>
        <v>0</v>
      </c>
      <c r="I75" s="33">
        <f>+[13]สรุป!$I$13</f>
        <v>0</v>
      </c>
      <c r="J75" s="33">
        <f>+[13]สรุป!$J$13</f>
        <v>0</v>
      </c>
      <c r="K75" s="33">
        <f>+[13]สรุป!$K$13</f>
        <v>17500</v>
      </c>
      <c r="L75" s="33">
        <f>+[13]สรุป!L$13</f>
        <v>17500</v>
      </c>
      <c r="M75" s="33">
        <f>+[13]สรุป!$M$13</f>
        <v>0</v>
      </c>
      <c r="N75" s="33">
        <f>+[13]สรุป!$N$13</f>
        <v>0</v>
      </c>
      <c r="O75" s="33">
        <f>+[13]สรุป!$O$13</f>
        <v>0</v>
      </c>
      <c r="P75" s="247">
        <f>+[13]สรุป!$P$13</f>
        <v>0</v>
      </c>
      <c r="Q75" s="33">
        <f>+[13]สรุป!Q$13</f>
        <v>17500</v>
      </c>
      <c r="R75" s="33">
        <f>+[13]สรุป!R$13</f>
        <v>17500</v>
      </c>
    </row>
    <row r="76" spans="1:18" s="28" customFormat="1">
      <c r="A76" s="26" t="s">
        <v>91</v>
      </c>
      <c r="B76" s="34">
        <f>SUM(B77:B78)</f>
        <v>7569850</v>
      </c>
      <c r="C76" s="34">
        <f t="shared" ref="C76:R76" si="22">SUM(C77:C78)</f>
        <v>4106700</v>
      </c>
      <c r="D76" s="34">
        <f t="shared" si="22"/>
        <v>0</v>
      </c>
      <c r="E76" s="34">
        <f t="shared" si="22"/>
        <v>0</v>
      </c>
      <c r="F76" s="34">
        <f t="shared" si="22"/>
        <v>4106700</v>
      </c>
      <c r="G76" s="34">
        <f t="shared" si="22"/>
        <v>0</v>
      </c>
      <c r="H76" s="34">
        <f t="shared" si="22"/>
        <v>0</v>
      </c>
      <c r="I76" s="34">
        <f t="shared" si="22"/>
        <v>0</v>
      </c>
      <c r="J76" s="34">
        <f t="shared" si="22"/>
        <v>0</v>
      </c>
      <c r="K76" s="34">
        <f t="shared" si="22"/>
        <v>7569850</v>
      </c>
      <c r="L76" s="34">
        <f t="shared" si="22"/>
        <v>4106700</v>
      </c>
      <c r="M76" s="34">
        <f t="shared" si="22"/>
        <v>0</v>
      </c>
      <c r="N76" s="34">
        <f t="shared" si="22"/>
        <v>0</v>
      </c>
      <c r="O76" s="34">
        <f t="shared" si="22"/>
        <v>1400</v>
      </c>
      <c r="P76" s="248">
        <f t="shared" si="22"/>
        <v>1308651.97</v>
      </c>
      <c r="Q76" s="34">
        <f t="shared" si="22"/>
        <v>2796648.0300000003</v>
      </c>
      <c r="R76" s="34">
        <f t="shared" si="22"/>
        <v>6259798.0300000003</v>
      </c>
    </row>
    <row r="77" spans="1:18">
      <c r="A77" s="24" t="s">
        <v>75</v>
      </c>
      <c r="B77" s="33">
        <f>+[19]สรุป!$B$5</f>
        <v>7569850</v>
      </c>
      <c r="C77" s="33">
        <f>+[19]สรุป!$C$5</f>
        <v>4106700</v>
      </c>
      <c r="D77" s="33">
        <f>+[19]สรุป!$D$5</f>
        <v>0</v>
      </c>
      <c r="E77" s="33">
        <f>+[19]สรุป!$E$5</f>
        <v>0</v>
      </c>
      <c r="F77" s="33">
        <f>SUM(C77:E77)</f>
        <v>4106700</v>
      </c>
      <c r="G77" s="33">
        <f>+[19]สรุป!$G$5</f>
        <v>0</v>
      </c>
      <c r="H77" s="33">
        <f>+[19]สรุป!$H$5</f>
        <v>0</v>
      </c>
      <c r="I77" s="33">
        <f>+[19]สรุป!$I$5</f>
        <v>0</v>
      </c>
      <c r="J77" s="33">
        <f>+[19]สรุป!$J$5</f>
        <v>0</v>
      </c>
      <c r="K77" s="33">
        <f>+[19]สรุป!$K$5</f>
        <v>7569850</v>
      </c>
      <c r="L77" s="33">
        <f>+[19]สรุป!L$5</f>
        <v>4106700</v>
      </c>
      <c r="M77" s="33">
        <f>+[19]สรุป!$M$5</f>
        <v>0</v>
      </c>
      <c r="N77" s="33">
        <f>+[19]สรุป!$N$5</f>
        <v>0</v>
      </c>
      <c r="O77" s="33">
        <f>+[19]สรุป!$O$5</f>
        <v>1400</v>
      </c>
      <c r="P77" s="247">
        <f>+[19]สรุป!$P$5</f>
        <v>1308651.97</v>
      </c>
      <c r="Q77" s="33">
        <f>+[19]สรุป!Q$5</f>
        <v>2796648.0300000003</v>
      </c>
      <c r="R77" s="33">
        <f>+[19]สรุป!R$5</f>
        <v>6259798.0300000003</v>
      </c>
    </row>
    <row r="78" spans="1:18">
      <c r="A78" s="24" t="s">
        <v>76</v>
      </c>
      <c r="B78" s="33">
        <f>+[19]สรุป!$B$7</f>
        <v>0</v>
      </c>
      <c r="C78" s="33">
        <f>+[19]สรุป!$C$7</f>
        <v>0</v>
      </c>
      <c r="D78" s="33">
        <f>+[19]สรุป!$D$7</f>
        <v>0</v>
      </c>
      <c r="E78" s="33">
        <f>+[19]สรุป!$E$7</f>
        <v>0</v>
      </c>
      <c r="F78" s="33">
        <f>+[19]สรุป!F$7</f>
        <v>0</v>
      </c>
      <c r="G78" s="33">
        <f>+[19]สรุป!$G$7</f>
        <v>0</v>
      </c>
      <c r="H78" s="33">
        <f>+[19]สรุป!$H$7</f>
        <v>0</v>
      </c>
      <c r="I78" s="33">
        <f>+[19]สรุป!$I$7</f>
        <v>0</v>
      </c>
      <c r="J78" s="33">
        <f>+[19]สรุป!$J$7</f>
        <v>0</v>
      </c>
      <c r="K78" s="33">
        <f>+[19]สรุป!$K$7</f>
        <v>0</v>
      </c>
      <c r="L78" s="33">
        <f>+[19]สรุป!L$7</f>
        <v>0</v>
      </c>
      <c r="M78" s="33">
        <f>+[19]สรุป!$M$7</f>
        <v>0</v>
      </c>
      <c r="N78" s="33">
        <f>+[19]สรุป!$N$7</f>
        <v>0</v>
      </c>
      <c r="O78" s="33">
        <f>+[19]สรุป!$O$7</f>
        <v>0</v>
      </c>
      <c r="P78" s="247">
        <f>+[19]สรุป!$P$7</f>
        <v>0</v>
      </c>
      <c r="Q78" s="33">
        <f>+[19]สรุป!Q$7</f>
        <v>0</v>
      </c>
      <c r="R78" s="33">
        <f>+[19]สรุป!R$7</f>
        <v>0</v>
      </c>
    </row>
    <row r="79" spans="1:18" s="28" customFormat="1">
      <c r="A79" s="26" t="s">
        <v>92</v>
      </c>
      <c r="B79" s="34">
        <f>SUM(B80:B81)</f>
        <v>4499455</v>
      </c>
      <c r="C79" s="34">
        <f t="shared" ref="C79:R79" si="23">SUM(C80:C81)</f>
        <v>2199730</v>
      </c>
      <c r="D79" s="34">
        <f t="shared" si="23"/>
        <v>0</v>
      </c>
      <c r="E79" s="34">
        <f t="shared" si="23"/>
        <v>0</v>
      </c>
      <c r="F79" s="34">
        <f t="shared" si="23"/>
        <v>2199730</v>
      </c>
      <c r="G79" s="34">
        <f t="shared" si="23"/>
        <v>0</v>
      </c>
      <c r="H79" s="34">
        <f t="shared" si="23"/>
        <v>0</v>
      </c>
      <c r="I79" s="34">
        <f t="shared" si="23"/>
        <v>0</v>
      </c>
      <c r="J79" s="34">
        <f t="shared" si="23"/>
        <v>0</v>
      </c>
      <c r="K79" s="34">
        <f t="shared" si="23"/>
        <v>4499455</v>
      </c>
      <c r="L79" s="34">
        <f t="shared" si="23"/>
        <v>2199730</v>
      </c>
      <c r="M79" s="34">
        <f t="shared" si="23"/>
        <v>0</v>
      </c>
      <c r="N79" s="34">
        <f t="shared" si="23"/>
        <v>163219</v>
      </c>
      <c r="O79" s="34">
        <f t="shared" si="23"/>
        <v>30208.240000000002</v>
      </c>
      <c r="P79" s="248">
        <f t="shared" si="23"/>
        <v>913128</v>
      </c>
      <c r="Q79" s="34">
        <f t="shared" si="23"/>
        <v>1093174.76</v>
      </c>
      <c r="R79" s="34">
        <f t="shared" si="23"/>
        <v>3392899.76</v>
      </c>
    </row>
    <row r="80" spans="1:18">
      <c r="A80" s="24" t="s">
        <v>75</v>
      </c>
      <c r="B80" s="33">
        <f>+[14]สรุป!$B$7</f>
        <v>4499455</v>
      </c>
      <c r="C80" s="33">
        <f>+[14]สรุป!$C$7</f>
        <v>2199730</v>
      </c>
      <c r="D80" s="33">
        <f>+[14]สรุป!$D$7</f>
        <v>0</v>
      </c>
      <c r="E80" s="33">
        <f>+[14]สรุป!$E$7</f>
        <v>0</v>
      </c>
      <c r="F80" s="33">
        <f>SUM(C80:E80)</f>
        <v>2199730</v>
      </c>
      <c r="G80" s="33">
        <f>+[14]สรุป!$G$7</f>
        <v>0</v>
      </c>
      <c r="H80" s="33">
        <f>+[14]สรุป!$H$7</f>
        <v>0</v>
      </c>
      <c r="I80" s="33">
        <f>+[14]สรุป!$I$7</f>
        <v>0</v>
      </c>
      <c r="J80" s="33">
        <f>+[14]สรุป!$J$7</f>
        <v>0</v>
      </c>
      <c r="K80" s="33">
        <f>+[14]สรุป!$K$7</f>
        <v>4499455</v>
      </c>
      <c r="L80" s="33">
        <f>+[14]สรุป!L$7</f>
        <v>2199730</v>
      </c>
      <c r="M80" s="33">
        <f>+[14]สรุป!$M$7</f>
        <v>0</v>
      </c>
      <c r="N80" s="33">
        <f>+[14]สรุป!$N$7</f>
        <v>163219</v>
      </c>
      <c r="O80" s="33">
        <f>+[14]สรุป!$O$7</f>
        <v>30208.240000000002</v>
      </c>
      <c r="P80" s="247">
        <f>+[14]สรุป!$P$7</f>
        <v>913128</v>
      </c>
      <c r="Q80" s="33">
        <f>+[14]สรุป!Q$7</f>
        <v>1093174.76</v>
      </c>
      <c r="R80" s="33">
        <f>+[14]สรุป!R$7</f>
        <v>3392899.76</v>
      </c>
    </row>
    <row r="81" spans="1:18">
      <c r="A81" s="24" t="s">
        <v>76</v>
      </c>
      <c r="B81" s="33">
        <f>+[14]สรุป!$B$9</f>
        <v>0</v>
      </c>
      <c r="C81" s="33">
        <f>+[14]สรุป!$C$9</f>
        <v>0</v>
      </c>
      <c r="D81" s="33">
        <f>+[14]สรุป!$D$9</f>
        <v>0</v>
      </c>
      <c r="E81" s="33">
        <f>+[14]สรุป!$E$9</f>
        <v>0</v>
      </c>
      <c r="F81" s="33">
        <f>+[14]สรุป!F$9</f>
        <v>0</v>
      </c>
      <c r="G81" s="33">
        <f>+[14]สรุป!$G$9</f>
        <v>0</v>
      </c>
      <c r="H81" s="33">
        <f>+[14]สรุป!$H$9</f>
        <v>0</v>
      </c>
      <c r="I81" s="33">
        <f>+[14]สรุป!$I$9</f>
        <v>0</v>
      </c>
      <c r="J81" s="33">
        <f>+[14]สรุป!$J$9</f>
        <v>0</v>
      </c>
      <c r="K81" s="33">
        <f>+[14]สรุป!$K$9</f>
        <v>0</v>
      </c>
      <c r="L81" s="33">
        <f>+[14]สรุป!L$9</f>
        <v>0</v>
      </c>
      <c r="M81" s="33">
        <f>+[14]สรุป!$M$9</f>
        <v>0</v>
      </c>
      <c r="N81" s="33">
        <f>+[14]สรุป!$N$9</f>
        <v>0</v>
      </c>
      <c r="O81" s="33">
        <f>+[14]สรุป!$O$9</f>
        <v>0</v>
      </c>
      <c r="P81" s="247">
        <f>+[14]สรุป!$P$9</f>
        <v>0</v>
      </c>
      <c r="Q81" s="33">
        <f>+[14]สรุป!Q$9</f>
        <v>0</v>
      </c>
      <c r="R81" s="33">
        <f>+[14]สรุป!R$9</f>
        <v>0</v>
      </c>
    </row>
    <row r="82" spans="1:18" s="28" customFormat="1">
      <c r="A82" s="26" t="s">
        <v>93</v>
      </c>
      <c r="B82" s="34">
        <f>SUM(B83:B84)</f>
        <v>786900</v>
      </c>
      <c r="C82" s="34">
        <f t="shared" ref="C82:R82" si="24">SUM(C83:C84)</f>
        <v>393450</v>
      </c>
      <c r="D82" s="34">
        <f t="shared" si="24"/>
        <v>0</v>
      </c>
      <c r="E82" s="34">
        <f t="shared" si="24"/>
        <v>0</v>
      </c>
      <c r="F82" s="34">
        <f t="shared" si="24"/>
        <v>393450</v>
      </c>
      <c r="G82" s="34">
        <f t="shared" si="24"/>
        <v>0</v>
      </c>
      <c r="H82" s="34">
        <f t="shared" si="24"/>
        <v>0</v>
      </c>
      <c r="I82" s="34">
        <f t="shared" si="24"/>
        <v>0</v>
      </c>
      <c r="J82" s="34">
        <f t="shared" si="24"/>
        <v>0</v>
      </c>
      <c r="K82" s="34">
        <f t="shared" si="24"/>
        <v>786900</v>
      </c>
      <c r="L82" s="34">
        <f t="shared" si="24"/>
        <v>393450</v>
      </c>
      <c r="M82" s="34">
        <f t="shared" si="24"/>
        <v>142260</v>
      </c>
      <c r="N82" s="34">
        <f t="shared" si="24"/>
        <v>4280</v>
      </c>
      <c r="O82" s="34">
        <f t="shared" si="24"/>
        <v>0</v>
      </c>
      <c r="P82" s="248">
        <f t="shared" si="24"/>
        <v>219442.74</v>
      </c>
      <c r="Q82" s="34">
        <f t="shared" si="24"/>
        <v>27467.260000000009</v>
      </c>
      <c r="R82" s="34">
        <f t="shared" si="24"/>
        <v>420917.26</v>
      </c>
    </row>
    <row r="83" spans="1:18">
      <c r="A83" s="24" t="s">
        <v>75</v>
      </c>
      <c r="B83" s="33">
        <f>+[20]สรุป!$B$5</f>
        <v>786900</v>
      </c>
      <c r="C83" s="33">
        <f>+[20]สรุป!$C$5</f>
        <v>393450</v>
      </c>
      <c r="D83" s="33">
        <f>+[20]สรุป!$D$5</f>
        <v>0</v>
      </c>
      <c r="E83" s="33">
        <f>+[20]สรุป!$E$5</f>
        <v>0</v>
      </c>
      <c r="F83" s="33">
        <f>SUM(C83:E83)</f>
        <v>393450</v>
      </c>
      <c r="G83" s="33">
        <f>+[20]สรุป!$G$5</f>
        <v>0</v>
      </c>
      <c r="H83" s="33">
        <f>+[20]สรุป!$H$5</f>
        <v>0</v>
      </c>
      <c r="I83" s="33">
        <f>+[20]สรุป!$I$5</f>
        <v>0</v>
      </c>
      <c r="J83" s="33">
        <f>+[20]สรุป!$J$5</f>
        <v>0</v>
      </c>
      <c r="K83" s="33">
        <f>+[20]สรุป!$K$5</f>
        <v>786900</v>
      </c>
      <c r="L83" s="33">
        <f>+[20]สรุป!L$5</f>
        <v>393450</v>
      </c>
      <c r="M83" s="33">
        <f>+[20]สรุป!$M$5</f>
        <v>142260</v>
      </c>
      <c r="N83" s="33">
        <f>+[20]สรุป!$N$5</f>
        <v>4280</v>
      </c>
      <c r="O83" s="33">
        <f>+[20]สรุป!$O$5</f>
        <v>0</v>
      </c>
      <c r="P83" s="247">
        <f>+[20]สรุป!$P$5</f>
        <v>219442.74</v>
      </c>
      <c r="Q83" s="33">
        <f>+[20]สรุป!Q$5</f>
        <v>27467.260000000009</v>
      </c>
      <c r="R83" s="33">
        <f>+[20]สรุป!R$5</f>
        <v>420917.26</v>
      </c>
    </row>
    <row r="84" spans="1:18">
      <c r="A84" s="24" t="s">
        <v>76</v>
      </c>
      <c r="B84" s="33">
        <f>+[20]สรุป!B$7</f>
        <v>0</v>
      </c>
      <c r="C84" s="33">
        <f>+[20]สรุป!$C$7</f>
        <v>0</v>
      </c>
      <c r="D84" s="33">
        <f>+[20]สรุป!$D$7</f>
        <v>0</v>
      </c>
      <c r="E84" s="33">
        <f>+[20]สรุป!$E$7</f>
        <v>0</v>
      </c>
      <c r="F84" s="33">
        <f>+[20]สรุป!F$7</f>
        <v>0</v>
      </c>
      <c r="G84" s="33">
        <f>+[20]สรุป!$G$7</f>
        <v>0</v>
      </c>
      <c r="H84" s="33">
        <f>+[20]สรุป!$H$7</f>
        <v>0</v>
      </c>
      <c r="I84" s="33">
        <f>+[20]สรุป!$I$7</f>
        <v>0</v>
      </c>
      <c r="J84" s="33">
        <f>+[20]สรุป!$J$7</f>
        <v>0</v>
      </c>
      <c r="K84" s="33">
        <f>+[20]สรุป!$K$7</f>
        <v>0</v>
      </c>
      <c r="L84" s="33">
        <f>+[20]สรุป!L$7</f>
        <v>0</v>
      </c>
      <c r="M84" s="33">
        <f>+[20]สรุป!$M$7</f>
        <v>0</v>
      </c>
      <c r="N84" s="33">
        <f>+[20]สรุป!$N$7</f>
        <v>0</v>
      </c>
      <c r="O84" s="33">
        <f>+[20]สรุป!$O$7</f>
        <v>0</v>
      </c>
      <c r="P84" s="247">
        <f>+[20]สรุป!$P$7</f>
        <v>0</v>
      </c>
      <c r="Q84" s="33">
        <f>+[20]สรุป!Q$7</f>
        <v>0</v>
      </c>
      <c r="R84" s="33">
        <f>+[20]สรุป!R$7</f>
        <v>0</v>
      </c>
    </row>
    <row r="85" spans="1:18" s="28" customFormat="1">
      <c r="A85" s="26" t="s">
        <v>18</v>
      </c>
      <c r="B85" s="31">
        <f>SUM(B86:B92,B107)</f>
        <v>34925100</v>
      </c>
      <c r="C85" s="31">
        <f t="shared" ref="C85:R85" si="25">SUM(C86:C92,C107)</f>
        <v>15970070</v>
      </c>
      <c r="D85" s="31">
        <f t="shared" si="25"/>
        <v>0</v>
      </c>
      <c r="E85" s="31">
        <f t="shared" si="25"/>
        <v>0</v>
      </c>
      <c r="F85" s="31">
        <f t="shared" si="25"/>
        <v>15970070</v>
      </c>
      <c r="G85" s="31">
        <f t="shared" si="25"/>
        <v>0</v>
      </c>
      <c r="H85" s="31">
        <f t="shared" si="25"/>
        <v>0</v>
      </c>
      <c r="I85" s="31">
        <f t="shared" si="25"/>
        <v>0</v>
      </c>
      <c r="J85" s="31">
        <f t="shared" si="25"/>
        <v>0</v>
      </c>
      <c r="K85" s="31">
        <f t="shared" si="25"/>
        <v>34925100</v>
      </c>
      <c r="L85" s="31">
        <f t="shared" si="25"/>
        <v>15970070</v>
      </c>
      <c r="M85" s="31">
        <f t="shared" si="25"/>
        <v>131289</v>
      </c>
      <c r="N85" s="31">
        <f t="shared" si="25"/>
        <v>282866.52999999997</v>
      </c>
      <c r="O85" s="31">
        <f t="shared" si="25"/>
        <v>131449.25</v>
      </c>
      <c r="P85" s="249">
        <f t="shared" si="25"/>
        <v>7252988.21</v>
      </c>
      <c r="Q85" s="31">
        <f t="shared" si="25"/>
        <v>8171477.0099999998</v>
      </c>
      <c r="R85" s="31">
        <f t="shared" si="25"/>
        <v>27126507.010000002</v>
      </c>
    </row>
    <row r="86" spans="1:18" s="28" customFormat="1">
      <c r="A86" s="26" t="s">
        <v>19</v>
      </c>
      <c r="B86" s="31">
        <f>+[1]สรุป!$B14</f>
        <v>3632700</v>
      </c>
      <c r="C86" s="31">
        <f>+[1]สรุป!$C$14</f>
        <v>1463625</v>
      </c>
      <c r="D86" s="31">
        <f>+[1]สรุป!$D$14</f>
        <v>0</v>
      </c>
      <c r="E86" s="31">
        <f>+[1]สรุป!$E$14</f>
        <v>0</v>
      </c>
      <c r="F86" s="34">
        <f>SUM(C86:E86)</f>
        <v>1463625</v>
      </c>
      <c r="G86" s="31">
        <f>+[1]สรุป!$G$14</f>
        <v>0</v>
      </c>
      <c r="H86" s="31">
        <f>+[1]สรุป!$H$14</f>
        <v>0</v>
      </c>
      <c r="I86" s="31">
        <f>+[1]สรุป!$I$14</f>
        <v>0</v>
      </c>
      <c r="J86" s="31">
        <f>+[1]สรุป!$J$14</f>
        <v>0</v>
      </c>
      <c r="K86" s="31">
        <f>+[1]สรุป!$K$14</f>
        <v>3632700</v>
      </c>
      <c r="L86" s="31">
        <f>+[1]สรุป!L14</f>
        <v>1463625</v>
      </c>
      <c r="M86" s="31">
        <f>+[1]สรุป!$M$14</f>
        <v>131289</v>
      </c>
      <c r="N86" s="31">
        <f>+[1]สรุป!$N$14</f>
        <v>2000</v>
      </c>
      <c r="O86" s="31">
        <f>+[1]สรุป!$O$14</f>
        <v>6955</v>
      </c>
      <c r="P86" s="249">
        <f>+[1]สรุป!$P$14</f>
        <v>142266</v>
      </c>
      <c r="Q86" s="31">
        <f>+[1]สรุป!Q14</f>
        <v>1181115</v>
      </c>
      <c r="R86" s="31">
        <f>+[1]สรุป!R14</f>
        <v>3350190</v>
      </c>
    </row>
    <row r="87" spans="1:18" s="28" customFormat="1">
      <c r="A87" s="26" t="s">
        <v>20</v>
      </c>
      <c r="B87" s="31">
        <f>+[1]สรุป!$B$15</f>
        <v>213200</v>
      </c>
      <c r="C87" s="31">
        <f>+[1]สรุป!$C$15</f>
        <v>106600</v>
      </c>
      <c r="D87" s="31">
        <f>+[1]สรุป!$D$15</f>
        <v>0</v>
      </c>
      <c r="E87" s="31">
        <f>+[1]สรุป!$E$15</f>
        <v>0</v>
      </c>
      <c r="F87" s="34">
        <f t="shared" ref="F87:F91" si="26">SUM(C87:E87)</f>
        <v>106600</v>
      </c>
      <c r="G87" s="31">
        <f>+[1]สรุป!$G$15</f>
        <v>0</v>
      </c>
      <c r="H87" s="31">
        <f>+[1]สรุป!$H$15</f>
        <v>0</v>
      </c>
      <c r="I87" s="31">
        <f>+[1]สรุป!$I$15</f>
        <v>0</v>
      </c>
      <c r="J87" s="31">
        <f>+[1]สรุป!$J$15</f>
        <v>0</v>
      </c>
      <c r="K87" s="31">
        <f>+[1]สรุป!$K$15</f>
        <v>213200</v>
      </c>
      <c r="L87" s="31">
        <f>+[1]สรุป!L15</f>
        <v>106600</v>
      </c>
      <c r="M87" s="31">
        <f>+[1]สรุป!$M$15</f>
        <v>0</v>
      </c>
      <c r="N87" s="31">
        <f>+[1]สรุป!$N$15</f>
        <v>2487.75</v>
      </c>
      <c r="O87" s="31">
        <f>+[1]สรุป!$O$15</f>
        <v>0</v>
      </c>
      <c r="P87" s="249">
        <f>+[1]สรุป!$P$15</f>
        <v>25520.51</v>
      </c>
      <c r="Q87" s="31">
        <f>+[1]สรุป!Q15</f>
        <v>78591.740000000005</v>
      </c>
      <c r="R87" s="31">
        <f>+[1]สรุป!R15</f>
        <v>185191.74</v>
      </c>
    </row>
    <row r="88" spans="1:18" s="28" customFormat="1">
      <c r="A88" s="26" t="s">
        <v>21</v>
      </c>
      <c r="B88" s="31">
        <f>+[1]สรุป!$B$16</f>
        <v>285400</v>
      </c>
      <c r="C88" s="31">
        <f>+[1]สรุป!$C$16</f>
        <v>118920</v>
      </c>
      <c r="D88" s="31">
        <f>+[1]สรุป!$D$16</f>
        <v>0</v>
      </c>
      <c r="E88" s="31">
        <f>+[1]สรุป!$E$16</f>
        <v>0</v>
      </c>
      <c r="F88" s="34">
        <f t="shared" si="26"/>
        <v>118920</v>
      </c>
      <c r="G88" s="31">
        <f>+[1]สรุป!$G$16</f>
        <v>0</v>
      </c>
      <c r="H88" s="31">
        <f>+[1]สรุป!$H$16</f>
        <v>0</v>
      </c>
      <c r="I88" s="31">
        <f>+[1]สรุป!$I$16</f>
        <v>0</v>
      </c>
      <c r="J88" s="31">
        <f>+[1]สรุป!$J$16</f>
        <v>0</v>
      </c>
      <c r="K88" s="31">
        <f>+[1]สรุป!$K$16</f>
        <v>285400</v>
      </c>
      <c r="L88" s="31">
        <f>+[1]สรุป!L16</f>
        <v>118920</v>
      </c>
      <c r="M88" s="31">
        <f>+[1]สรุป!$M$16</f>
        <v>0</v>
      </c>
      <c r="N88" s="31">
        <f>+[1]สรุป!$N$16</f>
        <v>0</v>
      </c>
      <c r="O88" s="31">
        <f>+[1]สรุป!$O$16</f>
        <v>0</v>
      </c>
      <c r="P88" s="249">
        <f>+[1]สรุป!$P$16</f>
        <v>48800</v>
      </c>
      <c r="Q88" s="31">
        <f>+[1]สรุป!Q16</f>
        <v>70120</v>
      </c>
      <c r="R88" s="31">
        <f>+[1]สรุป!R16</f>
        <v>236600</v>
      </c>
    </row>
    <row r="89" spans="1:18" s="28" customFormat="1">
      <c r="A89" s="26" t="s">
        <v>22</v>
      </c>
      <c r="B89" s="31">
        <f>+[1]สรุป!$B$17</f>
        <v>100000</v>
      </c>
      <c r="C89" s="31">
        <f>+[1]สรุป!$C$17</f>
        <v>100000</v>
      </c>
      <c r="D89" s="31">
        <f>+[1]สรุป!$D$17</f>
        <v>0</v>
      </c>
      <c r="E89" s="31">
        <f>+[1]สรุป!$E$17</f>
        <v>0</v>
      </c>
      <c r="F89" s="34">
        <f t="shared" si="26"/>
        <v>100000</v>
      </c>
      <c r="G89" s="31">
        <f>+[1]สรุป!$G$17</f>
        <v>0</v>
      </c>
      <c r="H89" s="31">
        <f>+[1]สรุป!$H$17</f>
        <v>0</v>
      </c>
      <c r="I89" s="31">
        <f>+[1]สรุป!$I$17</f>
        <v>0</v>
      </c>
      <c r="J89" s="31">
        <f>+[1]สรุป!$J$17</f>
        <v>0</v>
      </c>
      <c r="K89" s="31">
        <f>+[1]สรุป!$K$17</f>
        <v>100000</v>
      </c>
      <c r="L89" s="31">
        <f>+[1]สรุป!L17</f>
        <v>100000</v>
      </c>
      <c r="M89" s="31">
        <f>+[1]สรุป!$M$17</f>
        <v>0</v>
      </c>
      <c r="N89" s="31">
        <f>+[1]สรุป!$N$17</f>
        <v>0</v>
      </c>
      <c r="O89" s="31">
        <f>+[1]สรุป!$O$17</f>
        <v>0</v>
      </c>
      <c r="P89" s="249">
        <f>+[1]สรุป!$P$17</f>
        <v>0</v>
      </c>
      <c r="Q89" s="31">
        <f>+[1]สรุป!Q17</f>
        <v>100000</v>
      </c>
      <c r="R89" s="31">
        <f>+[1]สรุป!R17</f>
        <v>100000</v>
      </c>
    </row>
    <row r="90" spans="1:18" s="28" customFormat="1">
      <c r="A90" s="26" t="s">
        <v>23</v>
      </c>
      <c r="B90" s="31">
        <f>+[1]สรุป!$B$18</f>
        <v>510000</v>
      </c>
      <c r="C90" s="31">
        <f>+[1]สรุป!$C$18</f>
        <v>212500</v>
      </c>
      <c r="D90" s="31">
        <f>+[1]สรุป!$D$18</f>
        <v>0</v>
      </c>
      <c r="E90" s="31">
        <f>+[1]สรุป!$E$18</f>
        <v>0</v>
      </c>
      <c r="F90" s="34">
        <f t="shared" si="26"/>
        <v>212500</v>
      </c>
      <c r="G90" s="31">
        <f>+[1]สรุป!$G$18</f>
        <v>0</v>
      </c>
      <c r="H90" s="31">
        <f>+[1]สรุป!$H$18</f>
        <v>0</v>
      </c>
      <c r="I90" s="31">
        <f>+[1]สรุป!$I$18</f>
        <v>0</v>
      </c>
      <c r="J90" s="31">
        <f>+[1]สรุป!$J$18</f>
        <v>0</v>
      </c>
      <c r="K90" s="31">
        <f>+[1]สรุป!$K$18</f>
        <v>510000</v>
      </c>
      <c r="L90" s="31">
        <f>+[1]สรุป!L18</f>
        <v>212500</v>
      </c>
      <c r="M90" s="31">
        <f>+[1]สรุป!$M$18</f>
        <v>0</v>
      </c>
      <c r="N90" s="31">
        <f>+[1]สรุป!$N$18</f>
        <v>0</v>
      </c>
      <c r="O90" s="31">
        <f>+[1]สรุป!$O$18</f>
        <v>124494.25</v>
      </c>
      <c r="P90" s="249">
        <f>+[1]สรุป!$P$18</f>
        <v>0</v>
      </c>
      <c r="Q90" s="31">
        <f>+[1]สรุป!Q18</f>
        <v>88005.75</v>
      </c>
      <c r="R90" s="31">
        <f>+[1]สรุป!R18</f>
        <v>385505.75</v>
      </c>
    </row>
    <row r="91" spans="1:18" s="28" customFormat="1">
      <c r="A91" s="26" t="s">
        <v>24</v>
      </c>
      <c r="B91" s="31">
        <f>+[1]สรุป!$B$19</f>
        <v>1296000</v>
      </c>
      <c r="C91" s="31">
        <f>+[1]สรุป!$C$19</f>
        <v>540000</v>
      </c>
      <c r="D91" s="31">
        <f>+[1]สรุป!$D$19</f>
        <v>0</v>
      </c>
      <c r="E91" s="31">
        <f>+[1]สรุป!$E$19</f>
        <v>0</v>
      </c>
      <c r="F91" s="34">
        <f t="shared" si="26"/>
        <v>540000</v>
      </c>
      <c r="G91" s="31">
        <f>+[1]สรุป!$G$19</f>
        <v>0</v>
      </c>
      <c r="H91" s="31">
        <f>+[1]สรุป!$H$19</f>
        <v>0</v>
      </c>
      <c r="I91" s="31">
        <f>+[1]สรุป!$I$19</f>
        <v>0</v>
      </c>
      <c r="J91" s="31">
        <f>+[1]สรุป!$J$19</f>
        <v>0</v>
      </c>
      <c r="K91" s="31">
        <f>+[1]สรุป!$K$19</f>
        <v>1296000</v>
      </c>
      <c r="L91" s="31">
        <f>+[1]สรุป!L19</f>
        <v>540000</v>
      </c>
      <c r="M91" s="31">
        <f>+[1]สรุป!$M$19</f>
        <v>0</v>
      </c>
      <c r="N91" s="31">
        <f>+[1]สรุป!$N$19</f>
        <v>0</v>
      </c>
      <c r="O91" s="31">
        <f>+[1]สรุป!$O$19</f>
        <v>0</v>
      </c>
      <c r="P91" s="249">
        <f>+[1]สรุป!$P$19</f>
        <v>324000</v>
      </c>
      <c r="Q91" s="31">
        <f>+[1]สรุป!Q19</f>
        <v>216000</v>
      </c>
      <c r="R91" s="31">
        <f>+[1]สรุป!R19</f>
        <v>972000</v>
      </c>
    </row>
    <row r="92" spans="1:18" s="28" customFormat="1">
      <c r="A92" s="26" t="s">
        <v>25</v>
      </c>
      <c r="B92" s="31">
        <f>+[1]สรุป!$B$20</f>
        <v>12185700</v>
      </c>
      <c r="C92" s="31">
        <f>+[1]สรุป!$C$20</f>
        <v>5077375</v>
      </c>
      <c r="D92" s="31">
        <f>+[1]สรุป!$D$20</f>
        <v>0</v>
      </c>
      <c r="E92" s="31">
        <f>+[1]สรุป!$E$20</f>
        <v>0</v>
      </c>
      <c r="F92" s="31">
        <f>SUM(C92:E92)</f>
        <v>5077375</v>
      </c>
      <c r="G92" s="31">
        <f>+[1]สรุป!$G$20</f>
        <v>0</v>
      </c>
      <c r="H92" s="31">
        <f>+[1]สรุป!$H$20</f>
        <v>0</v>
      </c>
      <c r="I92" s="31">
        <f>+[1]สรุป!$I$20</f>
        <v>0</v>
      </c>
      <c r="J92" s="31">
        <f>+[1]สรุป!$J$20</f>
        <v>0</v>
      </c>
      <c r="K92" s="31">
        <f>+[1]สรุป!$K$20</f>
        <v>12185700</v>
      </c>
      <c r="L92" s="31">
        <f>+[1]สรุป!L20</f>
        <v>5077375</v>
      </c>
      <c r="M92" s="31">
        <f>+[1]สรุป!$M$20</f>
        <v>0</v>
      </c>
      <c r="N92" s="31">
        <f>+[1]สรุป!$N$20</f>
        <v>3000</v>
      </c>
      <c r="O92" s="31">
        <f>+[1]สรุป!$O$20</f>
        <v>0</v>
      </c>
      <c r="P92" s="249">
        <f>+[1]สรุป!$P$20</f>
        <v>2082489.86</v>
      </c>
      <c r="Q92" s="31">
        <f>+[1]สรุป!Q20</f>
        <v>2991885.1399999997</v>
      </c>
      <c r="R92" s="31">
        <f>+[1]สรุป!R20</f>
        <v>10100210.140000001</v>
      </c>
    </row>
    <row r="93" spans="1:18">
      <c r="A93" s="24" t="s">
        <v>26</v>
      </c>
      <c r="B93" s="32">
        <f>+[1]สรุป!$B$21</f>
        <v>0</v>
      </c>
      <c r="C93" s="32">
        <f>+[1]สรุป!$C$21</f>
        <v>0</v>
      </c>
      <c r="D93" s="32">
        <f>+[1]สรุป!$D$21</f>
        <v>0</v>
      </c>
      <c r="E93" s="32">
        <f>+[1]สรุป!$E$21</f>
        <v>0</v>
      </c>
      <c r="F93" s="32">
        <f>+[1]สรุป!F21</f>
        <v>0</v>
      </c>
      <c r="G93" s="32">
        <f>+[1]สรุป!$G$21</f>
        <v>0</v>
      </c>
      <c r="H93" s="32">
        <f>+[1]สรุป!$H$21</f>
        <v>0</v>
      </c>
      <c r="I93" s="32">
        <f>+[1]สรุป!$I$21</f>
        <v>0</v>
      </c>
      <c r="J93" s="32">
        <f>+[1]สรุป!$J$21</f>
        <v>0</v>
      </c>
      <c r="K93" s="32">
        <f>+[1]สรุป!$K$21</f>
        <v>0</v>
      </c>
      <c r="L93" s="32">
        <f>+[1]สรุป!L21</f>
        <v>0</v>
      </c>
      <c r="M93" s="32">
        <f>+[1]สรุป!$M$21</f>
        <v>0</v>
      </c>
      <c r="N93" s="32">
        <f>+[1]สรุป!$N$21</f>
        <v>0</v>
      </c>
      <c r="O93" s="32">
        <f>+[1]สรุป!$O$21</f>
        <v>0</v>
      </c>
      <c r="P93" s="250">
        <f>+[1]สรุป!$P$21</f>
        <v>0</v>
      </c>
      <c r="Q93" s="32">
        <f>+[1]สรุป!Q21</f>
        <v>0</v>
      </c>
      <c r="R93" s="32">
        <f>+[1]สรุป!R21</f>
        <v>0</v>
      </c>
    </row>
    <row r="94" spans="1:18">
      <c r="A94" s="24" t="s">
        <v>27</v>
      </c>
      <c r="B94" s="32">
        <f>+[1]สรุป!$B$22</f>
        <v>0</v>
      </c>
      <c r="C94" s="32">
        <f>+[1]สรุป!$C$22</f>
        <v>0</v>
      </c>
      <c r="D94" s="32">
        <f>+[1]สรุป!$D$22</f>
        <v>0</v>
      </c>
      <c r="E94" s="32">
        <f>+[1]สรุป!$E$22</f>
        <v>0</v>
      </c>
      <c r="F94" s="32">
        <f>+[1]สรุป!F22</f>
        <v>0</v>
      </c>
      <c r="G94" s="32">
        <f>+[1]สรุป!$G$22</f>
        <v>0</v>
      </c>
      <c r="H94" s="32">
        <f>+[1]สรุป!$H$22</f>
        <v>0</v>
      </c>
      <c r="I94" s="32">
        <f>+[1]สรุป!$I$22</f>
        <v>0</v>
      </c>
      <c r="J94" s="32">
        <f>+[1]สรุป!$J$22</f>
        <v>0</v>
      </c>
      <c r="K94" s="32">
        <f>+[1]สรุป!$K$22</f>
        <v>0</v>
      </c>
      <c r="L94" s="32">
        <f>+[1]สรุป!L22</f>
        <v>0</v>
      </c>
      <c r="M94" s="32">
        <f>+[1]สรุป!$M$22</f>
        <v>0</v>
      </c>
      <c r="N94" s="32">
        <f>+[1]สรุป!$N$22</f>
        <v>0</v>
      </c>
      <c r="O94" s="32">
        <f>+[1]สรุป!$O$22</f>
        <v>0</v>
      </c>
      <c r="P94" s="250">
        <f>+[1]สรุป!$P$22</f>
        <v>0</v>
      </c>
      <c r="Q94" s="32">
        <f>+[1]สรุป!Q22</f>
        <v>0</v>
      </c>
      <c r="R94" s="32">
        <f>+[1]สรุป!R22</f>
        <v>0</v>
      </c>
    </row>
    <row r="95" spans="1:18">
      <c r="A95" s="24" t="s">
        <v>28</v>
      </c>
      <c r="B95" s="32">
        <f>+[1]สรุป!$B$23</f>
        <v>0</v>
      </c>
      <c r="C95" s="32">
        <f>+[1]สรุป!$C$23</f>
        <v>0</v>
      </c>
      <c r="D95" s="32">
        <f>+[1]สรุป!$D$23</f>
        <v>0</v>
      </c>
      <c r="E95" s="32">
        <f>+[1]สรุป!$E$23</f>
        <v>0</v>
      </c>
      <c r="F95" s="32">
        <f>+[1]สรุป!F23</f>
        <v>0</v>
      </c>
      <c r="G95" s="32">
        <f>+[1]สรุป!$G$23</f>
        <v>0</v>
      </c>
      <c r="H95" s="32">
        <f>+[1]สรุป!$H$23</f>
        <v>0</v>
      </c>
      <c r="I95" s="32">
        <f>+[1]สรุป!$I$23</f>
        <v>0</v>
      </c>
      <c r="J95" s="32">
        <f>+[1]สรุป!$J$23</f>
        <v>0</v>
      </c>
      <c r="K95" s="32">
        <f>+[1]สรุป!$K$23</f>
        <v>0</v>
      </c>
      <c r="L95" s="32">
        <f>+[1]สรุป!L23</f>
        <v>0</v>
      </c>
      <c r="M95" s="32">
        <f>+[1]สรุป!$M$23</f>
        <v>0</v>
      </c>
      <c r="N95" s="32">
        <f>+[1]สรุป!$N$23</f>
        <v>3000</v>
      </c>
      <c r="O95" s="32">
        <f>+[1]สรุป!$O$23</f>
        <v>0</v>
      </c>
      <c r="P95" s="250">
        <f>+[1]สรุป!$P$23</f>
        <v>13000</v>
      </c>
      <c r="Q95" s="32">
        <f>+[1]สรุป!Q23</f>
        <v>0</v>
      </c>
      <c r="R95" s="32">
        <f>+[1]สรุป!R23</f>
        <v>0</v>
      </c>
    </row>
    <row r="96" spans="1:18">
      <c r="A96" s="24" t="s">
        <v>29</v>
      </c>
      <c r="B96" s="32">
        <f>+[1]สรุป!$B$24</f>
        <v>0</v>
      </c>
      <c r="C96" s="32">
        <f>+[1]สรุป!$C$24</f>
        <v>0</v>
      </c>
      <c r="D96" s="32">
        <f>+[1]สรุป!$D$24</f>
        <v>0</v>
      </c>
      <c r="E96" s="32">
        <f>+[1]สรุป!$E$24</f>
        <v>0</v>
      </c>
      <c r="F96" s="32">
        <f>+[1]สรุป!F24</f>
        <v>0</v>
      </c>
      <c r="G96" s="32">
        <f>+[1]สรุป!$G$24</f>
        <v>0</v>
      </c>
      <c r="H96" s="32">
        <f>+[1]สรุป!$H$24</f>
        <v>0</v>
      </c>
      <c r="I96" s="32">
        <f>+[1]สรุป!$I$24</f>
        <v>0</v>
      </c>
      <c r="J96" s="32">
        <f>+[1]สรุป!$J$24</f>
        <v>0</v>
      </c>
      <c r="K96" s="32">
        <f>+[1]สรุป!$K$24</f>
        <v>0</v>
      </c>
      <c r="L96" s="32">
        <f>+[1]สรุป!L24</f>
        <v>0</v>
      </c>
      <c r="M96" s="32">
        <f>+[1]สรุป!$M$24</f>
        <v>0</v>
      </c>
      <c r="N96" s="32">
        <f>+[1]สรุป!$N$24</f>
        <v>0</v>
      </c>
      <c r="O96" s="32">
        <f>+[1]สรุป!$O$24</f>
        <v>0</v>
      </c>
      <c r="P96" s="250">
        <f>+[1]สรุป!$P$24</f>
        <v>773733</v>
      </c>
      <c r="Q96" s="32">
        <f>+[1]สรุป!Q24</f>
        <v>0</v>
      </c>
      <c r="R96" s="32">
        <f>+[1]สรุป!R24</f>
        <v>0</v>
      </c>
    </row>
    <row r="97" spans="1:18">
      <c r="A97" s="24" t="s">
        <v>30</v>
      </c>
      <c r="B97" s="32">
        <f>+[1]สรุป!$B$25</f>
        <v>0</v>
      </c>
      <c r="C97" s="32">
        <f>+[1]สรุป!$C$25</f>
        <v>0</v>
      </c>
      <c r="D97" s="32">
        <f>+[1]สรุป!$D$25</f>
        <v>0</v>
      </c>
      <c r="E97" s="32">
        <f>+[1]สรุป!$E$25</f>
        <v>0</v>
      </c>
      <c r="F97" s="32">
        <f>+[1]สรุป!F25</f>
        <v>0</v>
      </c>
      <c r="G97" s="32">
        <f>+[1]สรุป!$G$25</f>
        <v>0</v>
      </c>
      <c r="H97" s="32">
        <f>+[1]สรุป!$H$25</f>
        <v>0</v>
      </c>
      <c r="I97" s="32">
        <f>+[1]สรุป!$I$25</f>
        <v>0</v>
      </c>
      <c r="J97" s="32">
        <f>+[1]สรุป!$J$25</f>
        <v>0</v>
      </c>
      <c r="K97" s="32">
        <f>+[1]สรุป!$K$25</f>
        <v>0</v>
      </c>
      <c r="L97" s="32">
        <f>+[1]สรุป!L25</f>
        <v>0</v>
      </c>
      <c r="M97" s="32">
        <f>+[1]สรุป!$M$25</f>
        <v>0</v>
      </c>
      <c r="N97" s="32">
        <f>+[1]สรุป!$N$25</f>
        <v>0</v>
      </c>
      <c r="O97" s="32">
        <f>+[1]สรุป!$O$25</f>
        <v>0</v>
      </c>
      <c r="P97" s="250">
        <f>+[1]สรุป!$P$25</f>
        <v>220110</v>
      </c>
      <c r="Q97" s="32">
        <f>+[1]สรุป!Q25</f>
        <v>0</v>
      </c>
      <c r="R97" s="32">
        <f>+[1]สรุป!R25</f>
        <v>0</v>
      </c>
    </row>
    <row r="98" spans="1:18">
      <c r="A98" s="24" t="s">
        <v>31</v>
      </c>
      <c r="B98" s="32">
        <f>+[1]สรุป!$B$26</f>
        <v>0</v>
      </c>
      <c r="C98" s="32">
        <f>+[1]สรุป!$C$26</f>
        <v>0</v>
      </c>
      <c r="D98" s="32">
        <f>+[1]สรุป!$D$26</f>
        <v>0</v>
      </c>
      <c r="E98" s="32">
        <f>+[1]สรุป!$E$26</f>
        <v>0</v>
      </c>
      <c r="F98" s="32">
        <f>+[1]สรุป!F26</f>
        <v>0</v>
      </c>
      <c r="G98" s="32">
        <f>+[1]สรุป!$G$26</f>
        <v>0</v>
      </c>
      <c r="H98" s="32">
        <f>+[1]สรุป!$H$26</f>
        <v>0</v>
      </c>
      <c r="I98" s="32">
        <f>+[1]สรุป!$I$26</f>
        <v>0</v>
      </c>
      <c r="J98" s="32">
        <f>+[1]สรุป!$J$26</f>
        <v>0</v>
      </c>
      <c r="K98" s="32">
        <f>+[1]สรุป!$K$26</f>
        <v>0</v>
      </c>
      <c r="L98" s="32">
        <f>+[1]สรุป!L26</f>
        <v>0</v>
      </c>
      <c r="M98" s="32">
        <f>+[1]สรุป!$M$26</f>
        <v>0</v>
      </c>
      <c r="N98" s="32">
        <f>+[1]สรุป!$N$26</f>
        <v>0</v>
      </c>
      <c r="O98" s="32">
        <f>+[1]สรุป!$O$26</f>
        <v>0</v>
      </c>
      <c r="P98" s="250">
        <f>+[1]สรุป!$P$26</f>
        <v>70218.759999999995</v>
      </c>
      <c r="Q98" s="32">
        <f>+[1]สรุป!Q26</f>
        <v>0</v>
      </c>
      <c r="R98" s="32">
        <f>+[1]สรุป!R26</f>
        <v>0</v>
      </c>
    </row>
    <row r="99" spans="1:18">
      <c r="A99" s="24" t="s">
        <v>32</v>
      </c>
      <c r="B99" s="32">
        <f>+[1]สรุป!$B$27</f>
        <v>0</v>
      </c>
      <c r="C99" s="32">
        <f>+[1]สรุป!$C$27</f>
        <v>0</v>
      </c>
      <c r="D99" s="32">
        <f>+[1]สรุป!$D$27</f>
        <v>0</v>
      </c>
      <c r="E99" s="32">
        <f>+[1]สรุป!$E$27</f>
        <v>0</v>
      </c>
      <c r="F99" s="32">
        <f>+[1]สรุป!F27</f>
        <v>0</v>
      </c>
      <c r="G99" s="32">
        <f>+[1]สรุป!$G$27</f>
        <v>0</v>
      </c>
      <c r="H99" s="32">
        <f>+[1]สรุป!$H$27</f>
        <v>0</v>
      </c>
      <c r="I99" s="32">
        <f>+[1]สรุป!$I$27</f>
        <v>0</v>
      </c>
      <c r="J99" s="32">
        <f>+[1]สรุป!$J$27</f>
        <v>0</v>
      </c>
      <c r="K99" s="32">
        <f>+[1]สรุป!$K$27</f>
        <v>0</v>
      </c>
      <c r="L99" s="32">
        <f>+[1]สรุป!L27</f>
        <v>0</v>
      </c>
      <c r="M99" s="32">
        <f>+[1]สรุป!$M$27</f>
        <v>0</v>
      </c>
      <c r="N99" s="32">
        <f>+[1]สรุป!$N$27</f>
        <v>0</v>
      </c>
      <c r="O99" s="32">
        <f>+[1]สรุป!$O$27</f>
        <v>0</v>
      </c>
      <c r="P99" s="250">
        <f>+[1]สรุป!$P$27</f>
        <v>16000</v>
      </c>
      <c r="Q99" s="32">
        <f>+[1]สรุป!Q27</f>
        <v>0</v>
      </c>
      <c r="R99" s="32">
        <f>+[1]สรุป!R27</f>
        <v>0</v>
      </c>
    </row>
    <row r="100" spans="1:18">
      <c r="A100" s="24" t="s">
        <v>33</v>
      </c>
      <c r="B100" s="32">
        <f>+[1]สรุป!$B$28</f>
        <v>0</v>
      </c>
      <c r="C100" s="32">
        <f>+[1]สรุป!$C$28</f>
        <v>0</v>
      </c>
      <c r="D100" s="32">
        <f>+[1]สรุป!$D$28</f>
        <v>0</v>
      </c>
      <c r="E100" s="32">
        <f>+[1]สรุป!$E$28</f>
        <v>0</v>
      </c>
      <c r="F100" s="32">
        <f>+[1]สรุป!F28</f>
        <v>0</v>
      </c>
      <c r="G100" s="32">
        <f>+[1]สรุป!$G$28</f>
        <v>0</v>
      </c>
      <c r="H100" s="32">
        <f>+[1]สรุป!$H$28</f>
        <v>0</v>
      </c>
      <c r="I100" s="32">
        <f>+[1]สรุป!$I$28</f>
        <v>0</v>
      </c>
      <c r="J100" s="32">
        <f>+[1]สรุป!$J$28</f>
        <v>0</v>
      </c>
      <c r="K100" s="32">
        <f>+[1]สรุป!$K$28</f>
        <v>0</v>
      </c>
      <c r="L100" s="32">
        <f>+[1]สรุป!L28</f>
        <v>0</v>
      </c>
      <c r="M100" s="32">
        <f>+[1]สรุป!$M$28</f>
        <v>0</v>
      </c>
      <c r="N100" s="32">
        <f>+[1]สรุป!$N$28</f>
        <v>0</v>
      </c>
      <c r="O100" s="32">
        <f>+[1]สรุป!$O$28</f>
        <v>0</v>
      </c>
      <c r="P100" s="250">
        <f>+[1]สรุป!$P$28</f>
        <v>9897.5</v>
      </c>
      <c r="Q100" s="32">
        <f>+[1]สรุป!Q28</f>
        <v>0</v>
      </c>
      <c r="R100" s="32">
        <f>+[1]สรุป!R28</f>
        <v>0</v>
      </c>
    </row>
    <row r="101" spans="1:18">
      <c r="A101" s="24" t="s">
        <v>34</v>
      </c>
      <c r="B101" s="32">
        <f>+[1]สรุป!$B$29</f>
        <v>0</v>
      </c>
      <c r="C101" s="32">
        <f>+[1]สรุป!$C$29</f>
        <v>0</v>
      </c>
      <c r="D101" s="32">
        <f>+[1]สรุป!$D$29</f>
        <v>0</v>
      </c>
      <c r="E101" s="32">
        <f>+[1]สรุป!$E$29</f>
        <v>0</v>
      </c>
      <c r="F101" s="32">
        <f>+[1]สรุป!F29</f>
        <v>0</v>
      </c>
      <c r="G101" s="32">
        <f>+[1]สรุป!$G$29</f>
        <v>0</v>
      </c>
      <c r="H101" s="32">
        <f>+[1]สรุป!$H$29</f>
        <v>0</v>
      </c>
      <c r="I101" s="32">
        <f>+[1]สรุป!$I$29</f>
        <v>0</v>
      </c>
      <c r="J101" s="32">
        <f>+[1]สรุป!$J$29</f>
        <v>0</v>
      </c>
      <c r="K101" s="32">
        <f>+[1]สรุป!$K$29</f>
        <v>0</v>
      </c>
      <c r="L101" s="32">
        <f>+[1]สรุป!L29</f>
        <v>0</v>
      </c>
      <c r="M101" s="32">
        <f>+[1]สรุป!$M$29</f>
        <v>0</v>
      </c>
      <c r="N101" s="32">
        <f>+[1]สรุป!$N$29</f>
        <v>0</v>
      </c>
      <c r="O101" s="32">
        <f>+[1]สรุป!$O$29</f>
        <v>0</v>
      </c>
      <c r="P101" s="250">
        <f>+[1]สรุป!$P$29</f>
        <v>922200</v>
      </c>
      <c r="Q101" s="32">
        <f>+[1]สรุป!Q29</f>
        <v>0</v>
      </c>
      <c r="R101" s="32">
        <f>+[1]สรุป!R29</f>
        <v>0</v>
      </c>
    </row>
    <row r="102" spans="1:18">
      <c r="A102" s="24" t="s">
        <v>35</v>
      </c>
      <c r="B102" s="32">
        <f>+[1]สรุป!$B$30</f>
        <v>0</v>
      </c>
      <c r="C102" s="32">
        <f>+[1]สรุป!$C$30</f>
        <v>0</v>
      </c>
      <c r="D102" s="32">
        <f>+[1]สรุป!$D$30</f>
        <v>0</v>
      </c>
      <c r="E102" s="32">
        <f>+[1]สรุป!$E$30</f>
        <v>0</v>
      </c>
      <c r="F102" s="32">
        <f>+[1]สรุป!F30</f>
        <v>0</v>
      </c>
      <c r="G102" s="32">
        <f>+[1]สรุป!$G$30</f>
        <v>0</v>
      </c>
      <c r="H102" s="32">
        <f>+[1]สรุป!$H$30</f>
        <v>0</v>
      </c>
      <c r="I102" s="32">
        <f>+[1]สรุป!$I$30</f>
        <v>0</v>
      </c>
      <c r="J102" s="32">
        <f>+[1]สรุป!$J$30</f>
        <v>0</v>
      </c>
      <c r="K102" s="32">
        <f>+[1]สรุป!$K$30</f>
        <v>0</v>
      </c>
      <c r="L102" s="32">
        <f>+[1]สรุป!L30</f>
        <v>0</v>
      </c>
      <c r="M102" s="32">
        <f>+[1]สรุป!$M$30</f>
        <v>0</v>
      </c>
      <c r="N102" s="32">
        <f>+[1]สรุป!$N$30</f>
        <v>0</v>
      </c>
      <c r="O102" s="32">
        <f>+[1]สรุป!$O$30</f>
        <v>0</v>
      </c>
      <c r="P102" s="250">
        <f>+[1]สรุป!$P$30</f>
        <v>6420</v>
      </c>
      <c r="Q102" s="32">
        <f>+[1]สรุป!Q30</f>
        <v>0</v>
      </c>
      <c r="R102" s="32">
        <f>+[1]สรุป!R30</f>
        <v>0</v>
      </c>
    </row>
    <row r="103" spans="1:18">
      <c r="A103" s="24" t="s">
        <v>36</v>
      </c>
      <c r="B103" s="32">
        <f>+[1]สรุป!$B$31</f>
        <v>0</v>
      </c>
      <c r="C103" s="32">
        <f>+[1]สรุป!$C$31</f>
        <v>0</v>
      </c>
      <c r="D103" s="32">
        <f>+[1]สรุป!$D$31</f>
        <v>0</v>
      </c>
      <c r="E103" s="32">
        <f>+[1]สรุป!$E$31</f>
        <v>0</v>
      </c>
      <c r="F103" s="32">
        <f>+[1]สรุป!F31</f>
        <v>0</v>
      </c>
      <c r="G103" s="32">
        <f>+[1]สรุป!$G$31</f>
        <v>0</v>
      </c>
      <c r="H103" s="32">
        <f>+[1]สรุป!$H$31</f>
        <v>0</v>
      </c>
      <c r="I103" s="32">
        <f>+[1]สรุป!$I$31</f>
        <v>0</v>
      </c>
      <c r="J103" s="32">
        <f>+[1]สรุป!$J$31</f>
        <v>0</v>
      </c>
      <c r="K103" s="32">
        <f>+[1]สรุป!$K$31</f>
        <v>0</v>
      </c>
      <c r="L103" s="32">
        <f>+[1]สรุป!L31</f>
        <v>0</v>
      </c>
      <c r="M103" s="32">
        <f>+[1]สรุป!$M$31</f>
        <v>0</v>
      </c>
      <c r="N103" s="32">
        <f>+[1]สรุป!$N$31</f>
        <v>0</v>
      </c>
      <c r="O103" s="32">
        <f>+[1]สรุป!$O$31</f>
        <v>0</v>
      </c>
      <c r="P103" s="250">
        <f>+[1]สรุป!$P$31</f>
        <v>12840</v>
      </c>
      <c r="Q103" s="32">
        <f>+[1]สรุป!Q31</f>
        <v>0</v>
      </c>
      <c r="R103" s="32">
        <f>+[1]สรุป!R31</f>
        <v>0</v>
      </c>
    </row>
    <row r="104" spans="1:18">
      <c r="A104" s="24" t="s">
        <v>37</v>
      </c>
      <c r="B104" s="32">
        <f>+[1]สรุป!$B$32</f>
        <v>0</v>
      </c>
      <c r="C104" s="32">
        <f>+[1]สรุป!$C$32</f>
        <v>0</v>
      </c>
      <c r="D104" s="32">
        <f>+[1]สรุป!$D$32</f>
        <v>0</v>
      </c>
      <c r="E104" s="32">
        <f>+[1]สรุป!$E$32</f>
        <v>0</v>
      </c>
      <c r="F104" s="32">
        <f>+[1]สรุป!F32</f>
        <v>0</v>
      </c>
      <c r="G104" s="32">
        <f>+[1]สรุป!$G$32</f>
        <v>0</v>
      </c>
      <c r="H104" s="32">
        <f>+[1]สรุป!$H$32</f>
        <v>0</v>
      </c>
      <c r="I104" s="32">
        <f>+[1]สรุป!$I$32</f>
        <v>0</v>
      </c>
      <c r="J104" s="32">
        <f>+[1]สรุป!$J$32</f>
        <v>0</v>
      </c>
      <c r="K104" s="32">
        <f>+[1]สรุป!$K$32</f>
        <v>0</v>
      </c>
      <c r="L104" s="32">
        <f>+[1]สรุป!L32</f>
        <v>0</v>
      </c>
      <c r="M104" s="32">
        <f>+[1]สรุป!$M$32</f>
        <v>0</v>
      </c>
      <c r="N104" s="32">
        <f>+[1]สรุป!$N$32</f>
        <v>0</v>
      </c>
      <c r="O104" s="32">
        <f>+[1]สรุป!$O$32</f>
        <v>0</v>
      </c>
      <c r="P104" s="250">
        <f>+[1]สรุป!$P$32</f>
        <v>16050</v>
      </c>
      <c r="Q104" s="32">
        <f>+[1]สรุป!Q32</f>
        <v>0</v>
      </c>
      <c r="R104" s="32">
        <f>+[1]สรุป!R32</f>
        <v>0</v>
      </c>
    </row>
    <row r="105" spans="1:18">
      <c r="A105" s="24" t="s">
        <v>38</v>
      </c>
      <c r="B105" s="32">
        <f>+[1]สรุป!$B$33</f>
        <v>0</v>
      </c>
      <c r="C105" s="32">
        <f>+[1]สรุป!$C$33</f>
        <v>0</v>
      </c>
      <c r="D105" s="32">
        <f>+[1]สรุป!$D$33</f>
        <v>0</v>
      </c>
      <c r="E105" s="32">
        <f>+[1]สรุป!$E$33</f>
        <v>0</v>
      </c>
      <c r="F105" s="32">
        <f>+[1]สรุป!F33</f>
        <v>0</v>
      </c>
      <c r="G105" s="32">
        <f>+[1]สรุป!$G$33</f>
        <v>0</v>
      </c>
      <c r="H105" s="32">
        <f>+[1]สรุป!$H$33</f>
        <v>0</v>
      </c>
      <c r="I105" s="32">
        <f>+[1]สรุป!$I$33</f>
        <v>0</v>
      </c>
      <c r="J105" s="32">
        <f>+[1]สรุป!$J$33</f>
        <v>0</v>
      </c>
      <c r="K105" s="32">
        <f>+[1]สรุป!$K$33</f>
        <v>0</v>
      </c>
      <c r="L105" s="32">
        <f>+[1]สรุป!L33</f>
        <v>0</v>
      </c>
      <c r="M105" s="32">
        <f>+[1]สรุป!$M$33</f>
        <v>0</v>
      </c>
      <c r="N105" s="32">
        <f>+[1]สรุป!$N$33</f>
        <v>0</v>
      </c>
      <c r="O105" s="32">
        <f>+[1]สรุป!$O$33</f>
        <v>0</v>
      </c>
      <c r="P105" s="250">
        <f>+[1]สรุป!$P$33</f>
        <v>13375</v>
      </c>
      <c r="Q105" s="32">
        <f>+[1]สรุป!Q33</f>
        <v>0</v>
      </c>
      <c r="R105" s="32">
        <f>+[1]สรุป!R33</f>
        <v>0</v>
      </c>
    </row>
    <row r="106" spans="1:18">
      <c r="A106" s="24" t="s">
        <v>39</v>
      </c>
      <c r="B106" s="32">
        <f>+[1]สรุป!$B$34</f>
        <v>0</v>
      </c>
      <c r="C106" s="32">
        <f>+[1]สรุป!$C$34</f>
        <v>0</v>
      </c>
      <c r="D106" s="32">
        <f>+[1]สรุป!$D$34</f>
        <v>0</v>
      </c>
      <c r="E106" s="32">
        <f>+[1]สรุป!$E$34</f>
        <v>0</v>
      </c>
      <c r="F106" s="32">
        <f>+[1]สรุป!F34</f>
        <v>0</v>
      </c>
      <c r="G106" s="32">
        <f>+[1]สรุป!$G$34</f>
        <v>0</v>
      </c>
      <c r="H106" s="32">
        <f>+[1]สรุป!$H$34</f>
        <v>0</v>
      </c>
      <c r="I106" s="32">
        <f>+[1]สรุป!$I$34</f>
        <v>0</v>
      </c>
      <c r="J106" s="32">
        <f>+[1]สรุป!$J$34</f>
        <v>0</v>
      </c>
      <c r="K106" s="32">
        <f>+[1]สรุป!$K$34</f>
        <v>0</v>
      </c>
      <c r="L106" s="32">
        <f>+[1]สรุป!L34</f>
        <v>0</v>
      </c>
      <c r="M106" s="32">
        <f>+[1]สรุป!$M$34</f>
        <v>0</v>
      </c>
      <c r="N106" s="32">
        <f>+[1]สรุป!$N$34</f>
        <v>0</v>
      </c>
      <c r="O106" s="32">
        <f>+[1]สรุป!$O$34</f>
        <v>0</v>
      </c>
      <c r="P106" s="250">
        <f>+[1]สรุป!$P$34</f>
        <v>8645.6</v>
      </c>
      <c r="Q106" s="32">
        <f>+[1]สรุป!Q34</f>
        <v>0</v>
      </c>
      <c r="R106" s="32">
        <f>+[1]สรุป!R34</f>
        <v>0</v>
      </c>
    </row>
    <row r="107" spans="1:18" s="28" customFormat="1">
      <c r="A107" s="26" t="s">
        <v>188</v>
      </c>
      <c r="B107" s="31">
        <f>+[1]สรุป!$B$35</f>
        <v>16702100</v>
      </c>
      <c r="C107" s="31">
        <f>+[1]สรุป!$C$35</f>
        <v>8351050</v>
      </c>
      <c r="D107" s="31">
        <f>+[1]สรุป!$D$35</f>
        <v>0</v>
      </c>
      <c r="E107" s="31">
        <f>+[1]สรุป!$E$35</f>
        <v>0</v>
      </c>
      <c r="F107" s="31">
        <f>SUM(C107:E107)</f>
        <v>8351050</v>
      </c>
      <c r="G107" s="31">
        <f>+[1]สรุป!$G$35</f>
        <v>0</v>
      </c>
      <c r="H107" s="31">
        <f>+[1]สรุป!$H$35</f>
        <v>0</v>
      </c>
      <c r="I107" s="31">
        <f>+[1]สรุป!$I$35</f>
        <v>0</v>
      </c>
      <c r="J107" s="31">
        <f>+[1]สรุป!$J$35</f>
        <v>0</v>
      </c>
      <c r="K107" s="31">
        <f>+[1]สรุป!$K$35</f>
        <v>16702100</v>
      </c>
      <c r="L107" s="31">
        <f>+[1]สรุป!L35</f>
        <v>8351050</v>
      </c>
      <c r="M107" s="31">
        <f>+[1]สรุป!$M$35</f>
        <v>0</v>
      </c>
      <c r="N107" s="31">
        <f>+[1]สรุป!$N$35</f>
        <v>275378.77999999997</v>
      </c>
      <c r="O107" s="31">
        <f>+[1]สรุป!$O$35</f>
        <v>0</v>
      </c>
      <c r="P107" s="249">
        <f>+[1]สรุป!$P$35</f>
        <v>4629911.84</v>
      </c>
      <c r="Q107" s="31">
        <f>+[1]สรุป!Q35</f>
        <v>3445759.38</v>
      </c>
      <c r="R107" s="31">
        <f>+[1]สรุป!R35</f>
        <v>11796809.380000001</v>
      </c>
    </row>
    <row r="108" spans="1:18">
      <c r="A108" s="24" t="s">
        <v>40</v>
      </c>
      <c r="B108" s="32">
        <f>+[1]สรุป!$B$36</f>
        <v>0</v>
      </c>
      <c r="C108" s="32">
        <f>+[1]สรุป!$C$36</f>
        <v>0</v>
      </c>
      <c r="D108" s="32">
        <f>+[1]สรุป!$D$36</f>
        <v>0</v>
      </c>
      <c r="E108" s="32">
        <f>+[1]สรุป!$E$36</f>
        <v>0</v>
      </c>
      <c r="F108" s="32">
        <f>+[1]สรุป!F36</f>
        <v>0</v>
      </c>
      <c r="G108" s="32">
        <f>+[1]สรุป!$G$36</f>
        <v>0</v>
      </c>
      <c r="H108" s="32">
        <f>+[1]สรุป!$H$36</f>
        <v>0</v>
      </c>
      <c r="I108" s="32">
        <f>+[1]สรุป!$I$36</f>
        <v>0</v>
      </c>
      <c r="J108" s="32">
        <f>+[1]สรุป!$J$36</f>
        <v>0</v>
      </c>
      <c r="K108" s="32">
        <f>+[1]สรุป!$K$36</f>
        <v>0</v>
      </c>
      <c r="L108" s="32">
        <f>+[1]สรุป!L36</f>
        <v>0</v>
      </c>
      <c r="M108" s="32">
        <f>+[1]สรุป!$M$36</f>
        <v>0</v>
      </c>
      <c r="N108" s="32">
        <f>+[1]สรุป!$N$36</f>
        <v>0</v>
      </c>
      <c r="O108" s="32">
        <f>+[1]สรุป!$O$36</f>
        <v>0</v>
      </c>
      <c r="P108" s="250">
        <f>+[1]สรุป!$P$36</f>
        <v>3374234.7800000003</v>
      </c>
      <c r="Q108" s="32">
        <f>+[1]สรุป!Q36</f>
        <v>0</v>
      </c>
      <c r="R108" s="32">
        <f>+[1]สรุป!R36</f>
        <v>0</v>
      </c>
    </row>
    <row r="109" spans="1:18">
      <c r="A109" s="24" t="s">
        <v>41</v>
      </c>
      <c r="B109" s="32">
        <f>+[1]สรุป!$B$37</f>
        <v>0</v>
      </c>
      <c r="C109" s="32">
        <f>+[1]สรุป!$C$37</f>
        <v>0</v>
      </c>
      <c r="D109" s="32">
        <f>+[1]สรุป!$D$37</f>
        <v>0</v>
      </c>
      <c r="E109" s="32">
        <f>+[1]สรุป!$E$37</f>
        <v>0</v>
      </c>
      <c r="F109" s="32">
        <f>+[1]สรุป!F37</f>
        <v>0</v>
      </c>
      <c r="G109" s="32">
        <f>+[1]สรุป!$G$37</f>
        <v>0</v>
      </c>
      <c r="H109" s="32">
        <f>+[1]สรุป!$H$37</f>
        <v>0</v>
      </c>
      <c r="I109" s="32">
        <f>+[1]สรุป!$I$37</f>
        <v>0</v>
      </c>
      <c r="J109" s="32">
        <f>+[1]สรุป!$J$37</f>
        <v>0</v>
      </c>
      <c r="K109" s="32">
        <f>+[1]สรุป!$K$37</f>
        <v>0</v>
      </c>
      <c r="L109" s="32">
        <f>+[1]สรุป!L37</f>
        <v>0</v>
      </c>
      <c r="M109" s="32">
        <f>+[1]สรุป!$M$37</f>
        <v>0</v>
      </c>
      <c r="N109" s="32">
        <f>+[1]สรุป!$N$37</f>
        <v>0</v>
      </c>
      <c r="O109" s="32">
        <f>+[1]สรุป!$O$37</f>
        <v>0</v>
      </c>
      <c r="P109" s="250">
        <f>+[1]สรุป!$P$37</f>
        <v>109927.6</v>
      </c>
      <c r="Q109" s="32">
        <f>+[1]สรุป!Q37</f>
        <v>0</v>
      </c>
      <c r="R109" s="32">
        <f>+[1]สรุป!R37</f>
        <v>0</v>
      </c>
    </row>
    <row r="110" spans="1:18">
      <c r="A110" s="24" t="s">
        <v>42</v>
      </c>
      <c r="B110" s="32">
        <f>+[1]สรุป!$B$38</f>
        <v>0</v>
      </c>
      <c r="C110" s="32">
        <f>+[1]สรุป!$C$38</f>
        <v>0</v>
      </c>
      <c r="D110" s="32">
        <f>+[1]สรุป!$D$38</f>
        <v>0</v>
      </c>
      <c r="E110" s="32">
        <f>+[1]สรุป!$E$38</f>
        <v>0</v>
      </c>
      <c r="F110" s="32">
        <f>+[1]สรุป!F38</f>
        <v>0</v>
      </c>
      <c r="G110" s="32">
        <f>+[1]สรุป!$G$38</f>
        <v>0</v>
      </c>
      <c r="H110" s="32">
        <f>+[1]สรุป!$H$38</f>
        <v>0</v>
      </c>
      <c r="I110" s="32">
        <f>+[1]สรุป!$I$38</f>
        <v>0</v>
      </c>
      <c r="J110" s="32">
        <f>+[1]สรุป!$J$38</f>
        <v>0</v>
      </c>
      <c r="K110" s="32">
        <f>+[1]สรุป!$K$38</f>
        <v>0</v>
      </c>
      <c r="L110" s="32">
        <f>+[1]สรุป!L38</f>
        <v>0</v>
      </c>
      <c r="M110" s="32">
        <f>+[1]สรุป!$M$38</f>
        <v>0</v>
      </c>
      <c r="N110" s="32">
        <f>+[1]สรุป!$N$38</f>
        <v>171861.8</v>
      </c>
      <c r="O110" s="32">
        <f>+[1]สรุป!$O$38</f>
        <v>0</v>
      </c>
      <c r="P110" s="250">
        <f>+[1]สรุป!$P$38</f>
        <v>352220.28</v>
      </c>
      <c r="Q110" s="32">
        <f>+[1]สรุป!Q38</f>
        <v>0</v>
      </c>
      <c r="R110" s="32">
        <f>+[1]สรุป!R38</f>
        <v>0</v>
      </c>
    </row>
    <row r="111" spans="1:18">
      <c r="A111" s="24" t="s">
        <v>43</v>
      </c>
      <c r="B111" s="32">
        <f>+[1]สรุป!$B$39</f>
        <v>0</v>
      </c>
      <c r="C111" s="32">
        <f>+[1]สรุป!$C$39</f>
        <v>0</v>
      </c>
      <c r="D111" s="32">
        <f>+[1]สรุป!$D$39</f>
        <v>0</v>
      </c>
      <c r="E111" s="32">
        <f>+[1]สรุป!$E$39</f>
        <v>0</v>
      </c>
      <c r="F111" s="32">
        <f>+[1]สรุป!F39</f>
        <v>0</v>
      </c>
      <c r="G111" s="32">
        <f>+[1]สรุป!$G$39</f>
        <v>0</v>
      </c>
      <c r="H111" s="32">
        <f>+[1]สรุป!$H$39</f>
        <v>0</v>
      </c>
      <c r="I111" s="32">
        <f>+[1]สรุป!$I$39</f>
        <v>0</v>
      </c>
      <c r="J111" s="32">
        <f>+[1]สรุป!$J$39</f>
        <v>0</v>
      </c>
      <c r="K111" s="32">
        <f>+[1]สรุป!$K$39</f>
        <v>0</v>
      </c>
      <c r="L111" s="32">
        <f>+[1]สรุป!L39</f>
        <v>0</v>
      </c>
      <c r="M111" s="32">
        <f>+[1]สรุป!$M$39</f>
        <v>0</v>
      </c>
      <c r="N111" s="32">
        <f>+[1]สรุป!$N$39</f>
        <v>100293.84999999999</v>
      </c>
      <c r="O111" s="32">
        <f>+[1]สรุป!$O$39</f>
        <v>0</v>
      </c>
      <c r="P111" s="250">
        <f>+[1]สรุป!$P$39</f>
        <v>214115.14999999997</v>
      </c>
      <c r="Q111" s="32">
        <f>+[1]สรุป!Q39</f>
        <v>0</v>
      </c>
      <c r="R111" s="32">
        <f>+[1]สรุป!R39</f>
        <v>0</v>
      </c>
    </row>
    <row r="112" spans="1:18">
      <c r="A112" s="24" t="s">
        <v>44</v>
      </c>
      <c r="B112" s="32">
        <f>+[1]สรุป!$B$40</f>
        <v>0</v>
      </c>
      <c r="C112" s="32">
        <f>+[1]สรุป!$C$40</f>
        <v>0</v>
      </c>
      <c r="D112" s="32">
        <f>+[1]สรุป!$D$40</f>
        <v>0</v>
      </c>
      <c r="E112" s="32">
        <f>+[1]สรุป!$E$40</f>
        <v>0</v>
      </c>
      <c r="F112" s="32">
        <f>+[1]สรุป!F40</f>
        <v>0</v>
      </c>
      <c r="G112" s="32">
        <f>+[1]สรุป!$G$40</f>
        <v>0</v>
      </c>
      <c r="H112" s="32">
        <f>+[1]สรุป!$H$40</f>
        <v>0</v>
      </c>
      <c r="I112" s="32">
        <f>+[1]สรุป!$I$40</f>
        <v>0</v>
      </c>
      <c r="J112" s="32">
        <f>+[1]สรุป!$J$40</f>
        <v>0</v>
      </c>
      <c r="K112" s="32">
        <f>+[1]สรุป!$K$40</f>
        <v>0</v>
      </c>
      <c r="L112" s="32">
        <f>+[1]สรุป!L40</f>
        <v>0</v>
      </c>
      <c r="M112" s="32">
        <f>+[1]สรุป!$M$40</f>
        <v>0</v>
      </c>
      <c r="N112" s="32">
        <f>+[1]สรุป!$N$40</f>
        <v>0</v>
      </c>
      <c r="O112" s="32">
        <f>+[1]สรุป!$O$40</f>
        <v>0</v>
      </c>
      <c r="P112" s="250">
        <f>+[1]สรุป!$P$40</f>
        <v>359525</v>
      </c>
      <c r="Q112" s="32">
        <f>+[1]สรุป!Q40</f>
        <v>0</v>
      </c>
      <c r="R112" s="32">
        <f>+[1]สรุป!R40</f>
        <v>0</v>
      </c>
    </row>
    <row r="113" spans="1:18">
      <c r="A113" s="24" t="s">
        <v>45</v>
      </c>
      <c r="B113" s="32">
        <f>+[1]สรุป!$B$41</f>
        <v>0</v>
      </c>
      <c r="C113" s="32">
        <f>+[1]สรุป!$C$41</f>
        <v>0</v>
      </c>
      <c r="D113" s="32">
        <f>+[1]สรุป!$D$41</f>
        <v>0</v>
      </c>
      <c r="E113" s="32">
        <f>+[1]สรุป!$E$41</f>
        <v>0</v>
      </c>
      <c r="F113" s="32">
        <f>+[1]สรุป!F41</f>
        <v>0</v>
      </c>
      <c r="G113" s="32">
        <f>+[1]สรุป!$G$41</f>
        <v>0</v>
      </c>
      <c r="H113" s="32">
        <f>+[1]สรุป!$H$41</f>
        <v>0</v>
      </c>
      <c r="I113" s="32">
        <f>+[1]สรุป!$I$41</f>
        <v>0</v>
      </c>
      <c r="J113" s="32">
        <f>+[1]สรุป!$J$41</f>
        <v>0</v>
      </c>
      <c r="K113" s="32">
        <f>+[1]สรุป!$K$41</f>
        <v>0</v>
      </c>
      <c r="L113" s="32">
        <f>+[1]สรุป!L41</f>
        <v>0</v>
      </c>
      <c r="M113" s="32">
        <f>+[1]สรุป!$M$41</f>
        <v>0</v>
      </c>
      <c r="N113" s="32">
        <f>+[1]สรุป!$N$41</f>
        <v>2475.1999999999998</v>
      </c>
      <c r="O113" s="32">
        <f>+[1]สรุป!$O$41</f>
        <v>0</v>
      </c>
      <c r="P113" s="250">
        <f>+[1]สรุป!$P$41</f>
        <v>19015.719999999998</v>
      </c>
      <c r="Q113" s="32">
        <f>+[1]สรุป!Q41</f>
        <v>0</v>
      </c>
      <c r="R113" s="32">
        <f>+[1]สรุป!R41</f>
        <v>0</v>
      </c>
    </row>
    <row r="114" spans="1:18">
      <c r="A114" s="24" t="s">
        <v>46</v>
      </c>
      <c r="B114" s="32">
        <f>+[1]สรุป!$B$42</f>
        <v>0</v>
      </c>
      <c r="C114" s="32">
        <f>+[1]สรุป!$C$42</f>
        <v>0</v>
      </c>
      <c r="D114" s="32">
        <f>+[1]สรุป!$D$42</f>
        <v>0</v>
      </c>
      <c r="E114" s="32">
        <f>+[1]สรุป!$E$42</f>
        <v>0</v>
      </c>
      <c r="F114" s="32">
        <f>+[1]สรุป!F42</f>
        <v>0</v>
      </c>
      <c r="G114" s="32">
        <f>+[1]สรุป!$G$42</f>
        <v>0</v>
      </c>
      <c r="H114" s="32">
        <f>+[1]สรุป!$H$42</f>
        <v>0</v>
      </c>
      <c r="I114" s="32">
        <f>+[1]สรุป!$I$42</f>
        <v>0</v>
      </c>
      <c r="J114" s="32">
        <f>+[1]สรุป!$J$42</f>
        <v>0</v>
      </c>
      <c r="K114" s="32">
        <f>+[1]สรุป!$K$42</f>
        <v>0</v>
      </c>
      <c r="L114" s="32">
        <f>+[1]สรุป!L42</f>
        <v>0</v>
      </c>
      <c r="M114" s="32">
        <f>+[1]สรุป!$M$42</f>
        <v>0</v>
      </c>
      <c r="N114" s="32">
        <f>+[1]สรุป!$N$42</f>
        <v>747.93</v>
      </c>
      <c r="O114" s="32">
        <f>+[1]สรุป!$O$42</f>
        <v>0</v>
      </c>
      <c r="P114" s="250">
        <f>+[1]สรุป!$P$42</f>
        <v>200873.31</v>
      </c>
      <c r="Q114" s="32">
        <f>+[1]สรุป!Q42</f>
        <v>0</v>
      </c>
      <c r="R114" s="32">
        <f>+[1]สรุป!R42</f>
        <v>0</v>
      </c>
    </row>
    <row r="115" spans="1:18">
      <c r="A115" s="24" t="s">
        <v>47</v>
      </c>
      <c r="B115" s="32">
        <f>+[1]สรุป!$B$43</f>
        <v>0</v>
      </c>
      <c r="C115" s="32">
        <f>+[1]สรุป!$C$43</f>
        <v>0</v>
      </c>
      <c r="D115" s="32">
        <f>+[1]สรุป!$D$43</f>
        <v>0</v>
      </c>
      <c r="E115" s="32">
        <f>+[1]สรุป!$E$43</f>
        <v>0</v>
      </c>
      <c r="F115" s="32">
        <f>+[1]สรุป!F43</f>
        <v>0</v>
      </c>
      <c r="G115" s="32">
        <f>+[1]สรุป!$G$43</f>
        <v>0</v>
      </c>
      <c r="H115" s="32">
        <f>+[1]สรุป!$H$43</f>
        <v>0</v>
      </c>
      <c r="I115" s="32">
        <f>+[1]สรุป!$I$43</f>
        <v>0</v>
      </c>
      <c r="J115" s="32">
        <f>+[1]สรุป!$J$43</f>
        <v>0</v>
      </c>
      <c r="K115" s="32">
        <f>+[1]สรุป!$K$43</f>
        <v>0</v>
      </c>
      <c r="L115" s="32">
        <f>+[1]สรุป!L43</f>
        <v>0</v>
      </c>
      <c r="M115" s="32">
        <f>+[1]สรุป!$M$43</f>
        <v>0</v>
      </c>
      <c r="N115" s="32">
        <f>+[1]สรุป!$N$43</f>
        <v>0</v>
      </c>
      <c r="O115" s="32">
        <f>+[1]สรุป!$O$43</f>
        <v>0</v>
      </c>
      <c r="P115" s="250">
        <f>+[1]สรุป!$P$43</f>
        <v>0</v>
      </c>
      <c r="Q115" s="32">
        <f>+[1]สรุป!Q43</f>
        <v>0</v>
      </c>
      <c r="R115" s="32">
        <f>+[1]สรุป!R43</f>
        <v>0</v>
      </c>
    </row>
    <row r="116" spans="1:18" s="35" customFormat="1">
      <c r="A116" s="34" t="s">
        <v>48</v>
      </c>
      <c r="B116" s="34">
        <f>SUM(B117:B121)</f>
        <v>14359500</v>
      </c>
      <c r="C116" s="34">
        <f t="shared" ref="C116:R116" si="27">SUM(C117:C121)</f>
        <v>6304750</v>
      </c>
      <c r="D116" s="34">
        <f t="shared" si="27"/>
        <v>0</v>
      </c>
      <c r="E116" s="34">
        <f t="shared" si="27"/>
        <v>0</v>
      </c>
      <c r="F116" s="31">
        <f>SUM(C116:E116)</f>
        <v>6304750</v>
      </c>
      <c r="G116" s="34">
        <f t="shared" si="27"/>
        <v>0</v>
      </c>
      <c r="H116" s="34">
        <f t="shared" si="27"/>
        <v>0</v>
      </c>
      <c r="I116" s="34">
        <f t="shared" si="27"/>
        <v>0</v>
      </c>
      <c r="J116" s="34">
        <f t="shared" si="27"/>
        <v>0</v>
      </c>
      <c r="K116" s="34">
        <f t="shared" si="27"/>
        <v>14359500</v>
      </c>
      <c r="L116" s="34">
        <f t="shared" si="27"/>
        <v>6304750</v>
      </c>
      <c r="M116" s="34">
        <f t="shared" si="27"/>
        <v>0</v>
      </c>
      <c r="N116" s="34">
        <f t="shared" si="27"/>
        <v>0</v>
      </c>
      <c r="O116" s="34">
        <f t="shared" si="27"/>
        <v>89600</v>
      </c>
      <c r="P116" s="34">
        <f t="shared" si="27"/>
        <v>112374</v>
      </c>
      <c r="Q116" s="34">
        <f t="shared" si="27"/>
        <v>6102776</v>
      </c>
      <c r="R116" s="34">
        <f t="shared" si="27"/>
        <v>14157526</v>
      </c>
    </row>
    <row r="117" spans="1:18">
      <c r="A117" s="24" t="s">
        <v>49</v>
      </c>
      <c r="B117" s="32">
        <f>+[1]สรุป!$B$45</f>
        <v>11873500</v>
      </c>
      <c r="C117" s="32">
        <f>+[1]สรุป!$C$45</f>
        <v>5936750</v>
      </c>
      <c r="D117" s="32">
        <f>+[1]สรุป!$D$45</f>
        <v>0</v>
      </c>
      <c r="E117" s="32">
        <f>+[1]สรุป!$E$45</f>
        <v>0</v>
      </c>
      <c r="F117" s="32">
        <f>SUM(C117:E117)</f>
        <v>5936750</v>
      </c>
      <c r="G117" s="32">
        <f>+[1]สรุป!$G$45</f>
        <v>0</v>
      </c>
      <c r="H117" s="32">
        <f>+[1]สรุป!$H$45</f>
        <v>0</v>
      </c>
      <c r="I117" s="32">
        <f>+[1]สรุป!$I$45</f>
        <v>0</v>
      </c>
      <c r="J117" s="32">
        <f>+[1]สรุป!$J$45</f>
        <v>0</v>
      </c>
      <c r="K117" s="32">
        <f>+[1]สรุป!$K$45</f>
        <v>11873500</v>
      </c>
      <c r="L117" s="32">
        <f>+[1]สรุป!L45</f>
        <v>5936750</v>
      </c>
      <c r="M117" s="32">
        <f>+[1]สรุป!$M$45</f>
        <v>0</v>
      </c>
      <c r="N117" s="32">
        <f>+[1]สรุป!$N$45</f>
        <v>0</v>
      </c>
      <c r="O117" s="32">
        <f>+[1]สรุป!$O$45</f>
        <v>0</v>
      </c>
      <c r="P117" s="32">
        <f>+[1]สรุป!$P$45</f>
        <v>0</v>
      </c>
      <c r="Q117" s="32">
        <f>+[1]สรุป!Q45</f>
        <v>5936750</v>
      </c>
      <c r="R117" s="32">
        <f>+[1]สรุป!R45</f>
        <v>11873500</v>
      </c>
    </row>
    <row r="118" spans="1:18">
      <c r="A118" s="24" t="s">
        <v>50</v>
      </c>
      <c r="B118" s="32">
        <f>+[1]สรุป!$B$46</f>
        <v>636000</v>
      </c>
      <c r="C118" s="32">
        <f>+[1]สรุป!$C$46</f>
        <v>318000</v>
      </c>
      <c r="D118" s="32">
        <f>+[1]สรุป!$D$46</f>
        <v>0</v>
      </c>
      <c r="E118" s="32">
        <f>+[1]สรุป!$E$46</f>
        <v>0</v>
      </c>
      <c r="F118" s="32">
        <f t="shared" ref="F118:F121" si="28">SUM(C118:E118)</f>
        <v>318000</v>
      </c>
      <c r="G118" s="32">
        <f>+[1]สรุป!$G$46</f>
        <v>0</v>
      </c>
      <c r="H118" s="32">
        <f>+[1]สรุป!$H$46</f>
        <v>0</v>
      </c>
      <c r="I118" s="32">
        <f>+[1]สรุป!$I$46</f>
        <v>0</v>
      </c>
      <c r="J118" s="32">
        <f>+[1]สรุป!$J$46</f>
        <v>0</v>
      </c>
      <c r="K118" s="32">
        <f>+[1]สรุป!$K$46</f>
        <v>636000</v>
      </c>
      <c r="L118" s="32">
        <f>+[1]สรุป!L46</f>
        <v>318000</v>
      </c>
      <c r="M118" s="32">
        <f>+[1]สรุป!$M$46</f>
        <v>0</v>
      </c>
      <c r="N118" s="32">
        <f>+[1]สรุป!$N$46</f>
        <v>0</v>
      </c>
      <c r="O118" s="32">
        <f>+[1]สรุป!$O$46</f>
        <v>0</v>
      </c>
      <c r="P118" s="32">
        <f>+[1]สรุป!$P$46</f>
        <v>112374</v>
      </c>
      <c r="Q118" s="32">
        <f>+[1]สรุป!Q46</f>
        <v>205626</v>
      </c>
      <c r="R118" s="32">
        <f>+[1]สรุป!R46</f>
        <v>523626</v>
      </c>
    </row>
    <row r="119" spans="1:18">
      <c r="A119" s="24" t="s">
        <v>51</v>
      </c>
      <c r="B119" s="32">
        <f>+[1]สรุป!$B$47</f>
        <v>100000</v>
      </c>
      <c r="C119" s="32">
        <f>+[1]สรุป!$C$47</f>
        <v>50000</v>
      </c>
      <c r="D119" s="32">
        <f>+[1]สรุป!$D$47</f>
        <v>0</v>
      </c>
      <c r="E119" s="32">
        <f>+[1]สรุป!$E$47</f>
        <v>0</v>
      </c>
      <c r="F119" s="32">
        <f t="shared" si="28"/>
        <v>50000</v>
      </c>
      <c r="G119" s="32">
        <f>+[1]สรุป!$G$47</f>
        <v>0</v>
      </c>
      <c r="H119" s="32">
        <f>+[1]สรุป!$H$47</f>
        <v>0</v>
      </c>
      <c r="I119" s="32">
        <f>+[1]สรุป!$I$47</f>
        <v>0</v>
      </c>
      <c r="J119" s="32">
        <f>+[1]สรุป!$J$47</f>
        <v>0</v>
      </c>
      <c r="K119" s="32">
        <f>+[1]สรุป!$K$47</f>
        <v>100000</v>
      </c>
      <c r="L119" s="32">
        <f>+[1]สรุป!L47</f>
        <v>50000</v>
      </c>
      <c r="M119" s="32">
        <f>+[1]สรุป!$M$47</f>
        <v>0</v>
      </c>
      <c r="N119" s="32">
        <f>+[1]สรุป!$N$47</f>
        <v>0</v>
      </c>
      <c r="O119" s="32">
        <f>+[1]สรุป!$O$47</f>
        <v>89600</v>
      </c>
      <c r="P119" s="32">
        <f>+[1]สรุป!$P$47</f>
        <v>0</v>
      </c>
      <c r="Q119" s="32">
        <f>+[1]สรุป!Q47</f>
        <v>-39600</v>
      </c>
      <c r="R119" s="32">
        <f>+[1]สรุป!R47</f>
        <v>10400</v>
      </c>
    </row>
    <row r="120" spans="1:18">
      <c r="A120" s="24" t="s">
        <v>52</v>
      </c>
      <c r="B120" s="32">
        <f>+[1]สรุป!$B$48</f>
        <v>250000</v>
      </c>
      <c r="C120" s="32">
        <f>+[1]สรุป!$C$48</f>
        <v>0</v>
      </c>
      <c r="D120" s="32">
        <f>+[1]สรุป!$D$48</f>
        <v>0</v>
      </c>
      <c r="E120" s="32">
        <f>+[1]สรุป!$E$48</f>
        <v>0</v>
      </c>
      <c r="F120" s="32">
        <f t="shared" si="28"/>
        <v>0</v>
      </c>
      <c r="G120" s="32">
        <f>+[1]สรุป!$G$48</f>
        <v>0</v>
      </c>
      <c r="H120" s="32">
        <f>+[1]สรุป!$H$48</f>
        <v>0</v>
      </c>
      <c r="I120" s="32">
        <f>+[1]สรุป!$I$48</f>
        <v>0</v>
      </c>
      <c r="J120" s="32">
        <f>+[1]สรุป!$J$48</f>
        <v>0</v>
      </c>
      <c r="K120" s="32">
        <f>+[1]สรุป!$K$48</f>
        <v>250000</v>
      </c>
      <c r="L120" s="32">
        <f>+[1]สรุป!L48</f>
        <v>0</v>
      </c>
      <c r="M120" s="32">
        <f>+[1]สรุป!$M$48</f>
        <v>0</v>
      </c>
      <c r="N120" s="32">
        <f>+[1]สรุป!$N$48</f>
        <v>0</v>
      </c>
      <c r="O120" s="32">
        <f>+[1]สรุป!$O$48</f>
        <v>0</v>
      </c>
      <c r="P120" s="32">
        <f>+[1]สรุป!$P$48</f>
        <v>0</v>
      </c>
      <c r="Q120" s="32">
        <f>+[1]สรุป!Q48</f>
        <v>0</v>
      </c>
      <c r="R120" s="32">
        <f>+[1]สรุป!R48</f>
        <v>250000</v>
      </c>
    </row>
    <row r="121" spans="1:18">
      <c r="A121" s="24" t="s">
        <v>53</v>
      </c>
      <c r="B121" s="32">
        <f>+[1]สรุป!$B$49</f>
        <v>1500000</v>
      </c>
      <c r="C121" s="32">
        <f>+[1]สรุป!$C$49</f>
        <v>0</v>
      </c>
      <c r="D121" s="32">
        <f>+[1]สรุป!$D$49</f>
        <v>0</v>
      </c>
      <c r="E121" s="32">
        <f>+[1]สรุป!$E$49</f>
        <v>0</v>
      </c>
      <c r="F121" s="32">
        <f t="shared" si="28"/>
        <v>0</v>
      </c>
      <c r="G121" s="32">
        <f>+[1]สรุป!$G$49</f>
        <v>0</v>
      </c>
      <c r="H121" s="32">
        <f>+[1]สรุป!$H$49</f>
        <v>0</v>
      </c>
      <c r="I121" s="32">
        <f>+[1]สรุป!$I$49</f>
        <v>0</v>
      </c>
      <c r="J121" s="32">
        <f>+[1]สรุป!$J$49</f>
        <v>0</v>
      </c>
      <c r="K121" s="32">
        <f>+[1]สรุป!$K$49</f>
        <v>1500000</v>
      </c>
      <c r="L121" s="32">
        <f>+[1]สรุป!L49</f>
        <v>0</v>
      </c>
      <c r="M121" s="32">
        <f>+[1]สรุป!$M$49</f>
        <v>0</v>
      </c>
      <c r="N121" s="32">
        <f>+[1]สรุป!$N$49</f>
        <v>0</v>
      </c>
      <c r="O121" s="32">
        <f>+[1]สรุป!$O$49</f>
        <v>0</v>
      </c>
      <c r="P121" s="32">
        <f>+[1]สรุป!$P$49</f>
        <v>0</v>
      </c>
      <c r="Q121" s="32">
        <f>+[1]สรุป!Q49</f>
        <v>0</v>
      </c>
      <c r="R121" s="32">
        <f>+[1]สรุป!R49</f>
        <v>1500000</v>
      </c>
    </row>
    <row r="122" spans="1:18" s="28" customFormat="1">
      <c r="A122" s="26" t="s">
        <v>54</v>
      </c>
      <c r="B122" s="31">
        <f>SUM(B123)</f>
        <v>12700000</v>
      </c>
      <c r="C122" s="31">
        <f t="shared" ref="C122:Q122" si="29">SUM(C123)</f>
        <v>6350000</v>
      </c>
      <c r="D122" s="31">
        <f t="shared" si="29"/>
        <v>0</v>
      </c>
      <c r="E122" s="31">
        <f t="shared" si="29"/>
        <v>0</v>
      </c>
      <c r="F122" s="31">
        <f>SUM(C122:E122)</f>
        <v>6350000</v>
      </c>
      <c r="G122" s="31">
        <f t="shared" si="29"/>
        <v>-1313500</v>
      </c>
      <c r="H122" s="31">
        <f t="shared" si="29"/>
        <v>0</v>
      </c>
      <c r="I122" s="31">
        <f t="shared" si="29"/>
        <v>0</v>
      </c>
      <c r="J122" s="31">
        <f t="shared" si="29"/>
        <v>0</v>
      </c>
      <c r="K122" s="31">
        <f t="shared" si="29"/>
        <v>11386500</v>
      </c>
      <c r="L122" s="31">
        <f t="shared" si="29"/>
        <v>5036500</v>
      </c>
      <c r="M122" s="31">
        <f t="shared" si="29"/>
        <v>0</v>
      </c>
      <c r="N122" s="31">
        <f t="shared" si="29"/>
        <v>0</v>
      </c>
      <c r="O122" s="31">
        <f t="shared" si="29"/>
        <v>0</v>
      </c>
      <c r="P122" s="31">
        <f t="shared" si="29"/>
        <v>0</v>
      </c>
      <c r="Q122" s="31">
        <f t="shared" si="29"/>
        <v>5036500</v>
      </c>
      <c r="R122" s="31">
        <f t="shared" ref="R122" si="30">SUM(R123)</f>
        <v>11386500</v>
      </c>
    </row>
    <row r="123" spans="1:18">
      <c r="A123" s="24" t="s">
        <v>55</v>
      </c>
      <c r="B123" s="32">
        <f>+[1]สรุป!$B$51</f>
        <v>12700000</v>
      </c>
      <c r="C123" s="32">
        <f>+[1]สรุป!$C$51</f>
        <v>6350000</v>
      </c>
      <c r="D123" s="32">
        <f>+[1]สรุป!$D$51</f>
        <v>0</v>
      </c>
      <c r="E123" s="32">
        <f>+[1]สรุป!$E$51</f>
        <v>0</v>
      </c>
      <c r="F123" s="32">
        <f>SUM(C123:E123)</f>
        <v>6350000</v>
      </c>
      <c r="G123" s="32">
        <f>+[1]สรุป!$G$51</f>
        <v>-1313500</v>
      </c>
      <c r="H123" s="32">
        <f>+[1]สรุป!$H$51</f>
        <v>0</v>
      </c>
      <c r="I123" s="32">
        <f>+[1]สรุป!$I$51</f>
        <v>0</v>
      </c>
      <c r="J123" s="32">
        <f>+[1]สรุป!$J$51</f>
        <v>0</v>
      </c>
      <c r="K123" s="32">
        <f>+[1]สรุป!$K$51</f>
        <v>11386500</v>
      </c>
      <c r="L123" s="32">
        <f>+[1]สรุป!L51</f>
        <v>5036500</v>
      </c>
      <c r="M123" s="32">
        <f>+[1]สรุป!$M$51</f>
        <v>0</v>
      </c>
      <c r="N123" s="32">
        <f>+[1]สรุป!$N$51</f>
        <v>0</v>
      </c>
      <c r="O123" s="32">
        <f>+[1]สรุป!$O$51</f>
        <v>0</v>
      </c>
      <c r="P123" s="32">
        <f>+[1]สรุป!$P$51</f>
        <v>0</v>
      </c>
      <c r="Q123" s="32">
        <f>+[1]สรุป!Q51</f>
        <v>5036500</v>
      </c>
      <c r="R123" s="32">
        <f>+[1]สรุป!R51</f>
        <v>11386500</v>
      </c>
    </row>
    <row r="124" spans="1:18" s="28" customFormat="1">
      <c r="A124" s="26" t="s">
        <v>94</v>
      </c>
      <c r="B124" s="31">
        <f>+[1]สรุป!$B$52</f>
        <v>15722206</v>
      </c>
      <c r="C124" s="31">
        <f>+[1]สรุป!$C$52</f>
        <v>7002061</v>
      </c>
      <c r="D124" s="31">
        <f>+[1]สรุป!$D$52</f>
        <v>0</v>
      </c>
      <c r="E124" s="31">
        <f>+[1]สรุป!$E$52</f>
        <v>0</v>
      </c>
      <c r="F124" s="31">
        <f>SUM(C124:E124)</f>
        <v>7002061</v>
      </c>
      <c r="G124" s="31">
        <f>+[1]สรุป!$G$52</f>
        <v>0</v>
      </c>
      <c r="H124" s="31">
        <f>+[1]สรุป!$H$52</f>
        <v>0</v>
      </c>
      <c r="I124" s="31">
        <f>+[1]สรุป!$I$52</f>
        <v>0</v>
      </c>
      <c r="J124" s="31">
        <f>+[1]สรุป!$J$52</f>
        <v>0</v>
      </c>
      <c r="K124" s="31">
        <f>+[1]สรุป!$K$52</f>
        <v>15722206</v>
      </c>
      <c r="L124" s="31">
        <f>+[1]สรุป!L52</f>
        <v>7002061</v>
      </c>
      <c r="M124" s="31">
        <f>+[1]สรุป!$M$52</f>
        <v>0</v>
      </c>
      <c r="N124" s="31">
        <f>+[1]สรุป!$N$52</f>
        <v>0</v>
      </c>
      <c r="O124" s="31">
        <f>+[1]สรุป!$O$52</f>
        <v>0</v>
      </c>
      <c r="P124" s="31">
        <f>+[1]สรุป!$P$52</f>
        <v>0</v>
      </c>
      <c r="Q124" s="31">
        <f>+[1]สรุป!Q52</f>
        <v>7002061</v>
      </c>
      <c r="R124" s="31">
        <f>+[1]สรุป!R52</f>
        <v>15722206</v>
      </c>
    </row>
    <row r="125" spans="1:18" s="28" customFormat="1">
      <c r="A125" s="26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18" s="243" customFormat="1">
      <c r="A126" s="29" t="s">
        <v>97</v>
      </c>
      <c r="B126" s="30">
        <f>+B127+B130</f>
        <v>15069400</v>
      </c>
      <c r="C126" s="30">
        <f t="shared" ref="C126:R126" si="31">+C127+C130</f>
        <v>7534700</v>
      </c>
      <c r="D126" s="30">
        <f t="shared" si="31"/>
        <v>0</v>
      </c>
      <c r="E126" s="30">
        <f t="shared" si="31"/>
        <v>0</v>
      </c>
      <c r="F126" s="30">
        <f t="shared" si="31"/>
        <v>7534700</v>
      </c>
      <c r="G126" s="30">
        <f t="shared" si="31"/>
        <v>0</v>
      </c>
      <c r="H126" s="30">
        <f t="shared" si="31"/>
        <v>0</v>
      </c>
      <c r="I126" s="30">
        <f t="shared" si="31"/>
        <v>0</v>
      </c>
      <c r="J126" s="30">
        <f t="shared" si="31"/>
        <v>0</v>
      </c>
      <c r="K126" s="30">
        <f t="shared" si="31"/>
        <v>15069400</v>
      </c>
      <c r="L126" s="30">
        <f t="shared" si="31"/>
        <v>7534700</v>
      </c>
      <c r="M126" s="30">
        <f t="shared" si="31"/>
        <v>0</v>
      </c>
      <c r="N126" s="30">
        <f t="shared" si="31"/>
        <v>509729.58999999997</v>
      </c>
      <c r="O126" s="30">
        <f t="shared" si="31"/>
        <v>85600</v>
      </c>
      <c r="P126" s="30">
        <f t="shared" si="31"/>
        <v>1209932.1500000001</v>
      </c>
      <c r="Q126" s="30">
        <f t="shared" si="31"/>
        <v>5729438.2599999998</v>
      </c>
      <c r="R126" s="30">
        <f t="shared" si="31"/>
        <v>13264138.26</v>
      </c>
    </row>
    <row r="127" spans="1:18" s="28" customFormat="1">
      <c r="A127" s="26" t="s">
        <v>98</v>
      </c>
      <c r="B127" s="34">
        <f>+[21]สรุป!$B$4</f>
        <v>14024030</v>
      </c>
      <c r="C127" s="34">
        <f>+[21]สรุป!$C$4</f>
        <v>7012015</v>
      </c>
      <c r="D127" s="34">
        <f>+[21]สรุป!$D$4</f>
        <v>0</v>
      </c>
      <c r="E127" s="34">
        <f>+[21]สรุป!$E$4</f>
        <v>0</v>
      </c>
      <c r="F127" s="34">
        <f>SUM(C127:E127)</f>
        <v>7012015</v>
      </c>
      <c r="G127" s="34">
        <f>+[21]สรุป!$G$4</f>
        <v>0</v>
      </c>
      <c r="H127" s="34">
        <f>+[21]สรุป!$H$4</f>
        <v>0</v>
      </c>
      <c r="I127" s="34">
        <f>+[21]สรุป!$I$4</f>
        <v>0</v>
      </c>
      <c r="J127" s="34">
        <f>+[21]สรุป!$J$4</f>
        <v>0</v>
      </c>
      <c r="K127" s="34">
        <f>+[21]สรุป!$K$4</f>
        <v>14024030</v>
      </c>
      <c r="L127" s="34">
        <f>+[21]สรุป!L4</f>
        <v>7012015</v>
      </c>
      <c r="M127" s="34">
        <f>+[21]สรุป!$M$4</f>
        <v>0</v>
      </c>
      <c r="N127" s="34">
        <f>+[21]สรุป!$N$4</f>
        <v>509729.58999999997</v>
      </c>
      <c r="O127" s="34">
        <f>+[21]สรุป!$O$4</f>
        <v>85600</v>
      </c>
      <c r="P127" s="34">
        <f>+[21]สรุป!$P$4</f>
        <v>1209932.1500000001</v>
      </c>
      <c r="Q127" s="34">
        <f>+[21]สรุป!Q4</f>
        <v>5206753.26</v>
      </c>
      <c r="R127" s="34">
        <f>+[21]สรุป!R4</f>
        <v>12218768.26</v>
      </c>
    </row>
    <row r="128" spans="1:18">
      <c r="A128" s="24" t="s">
        <v>75</v>
      </c>
      <c r="B128" s="33">
        <f>+[21]สรุป!$B$5</f>
        <v>14024030</v>
      </c>
      <c r="C128" s="33">
        <f>+[21]สรุป!$C$5</f>
        <v>7012015</v>
      </c>
      <c r="D128" s="33">
        <f>+[21]สรุป!$D$5</f>
        <v>0</v>
      </c>
      <c r="E128" s="33">
        <f>+[21]สรุป!$E$5</f>
        <v>0</v>
      </c>
      <c r="F128" s="33">
        <f>+[21]สรุป!$F$5</f>
        <v>7012015</v>
      </c>
      <c r="G128" s="33">
        <f>+[21]สรุป!$G$5</f>
        <v>0</v>
      </c>
      <c r="H128" s="33">
        <f>+[21]สรุป!$H$5</f>
        <v>0</v>
      </c>
      <c r="I128" s="33">
        <f>+[21]สรุป!$I$5</f>
        <v>0</v>
      </c>
      <c r="J128" s="33">
        <f>+[21]สรุป!$J$5</f>
        <v>0</v>
      </c>
      <c r="K128" s="33">
        <f>+[21]สรุป!$K$5</f>
        <v>14024030</v>
      </c>
      <c r="L128" s="33">
        <f>+[21]สรุป!$L$5</f>
        <v>7012015</v>
      </c>
      <c r="M128" s="33">
        <f>+[21]สรุป!$M$5</f>
        <v>0</v>
      </c>
      <c r="N128" s="33">
        <f>+[21]สรุป!$N$5</f>
        <v>509729.58999999997</v>
      </c>
      <c r="O128" s="33">
        <f>+[21]สรุป!$O$5</f>
        <v>85600</v>
      </c>
      <c r="P128" s="33">
        <f>+[21]สรุป!$P$5</f>
        <v>1209932.1500000001</v>
      </c>
      <c r="Q128" s="33">
        <f>+[21]สรุป!$Q$5</f>
        <v>5206753.26</v>
      </c>
      <c r="R128" s="33">
        <f>+[21]สรุป!$R$5</f>
        <v>12218768.26</v>
      </c>
    </row>
    <row r="129" spans="1:18">
      <c r="A129" s="24" t="s">
        <v>76</v>
      </c>
      <c r="B129" s="33">
        <f>+[21]สรุป!$B$8</f>
        <v>0</v>
      </c>
      <c r="C129" s="33">
        <f>+[21]สรุป!$C$8</f>
        <v>0</v>
      </c>
      <c r="D129" s="33">
        <f>+[21]สรุป!$D$8</f>
        <v>0</v>
      </c>
      <c r="E129" s="33">
        <f>+[21]สรุป!$E$8</f>
        <v>0</v>
      </c>
      <c r="F129" s="33">
        <f>+[21]สรุป!$F$8</f>
        <v>0</v>
      </c>
      <c r="G129" s="33">
        <f>+[21]สรุป!$G$8</f>
        <v>0</v>
      </c>
      <c r="H129" s="33">
        <f>+[21]สรุป!$H$8</f>
        <v>0</v>
      </c>
      <c r="I129" s="33">
        <f>+[21]สรุป!$I$8</f>
        <v>0</v>
      </c>
      <c r="J129" s="33">
        <f>+[21]สรุป!$J$8</f>
        <v>0</v>
      </c>
      <c r="K129" s="33">
        <f>+[21]สรุป!$K$8</f>
        <v>0</v>
      </c>
      <c r="L129" s="33">
        <f>+[21]สรุป!$L$8</f>
        <v>0</v>
      </c>
      <c r="M129" s="33">
        <f>+[21]สรุป!$M$8</f>
        <v>0</v>
      </c>
      <c r="N129" s="33">
        <f>+[21]สรุป!$N$8</f>
        <v>0</v>
      </c>
      <c r="O129" s="33">
        <f>+[21]สรุป!$O$8</f>
        <v>0</v>
      </c>
      <c r="P129" s="33">
        <f>+[21]สรุป!$P$8</f>
        <v>0</v>
      </c>
      <c r="Q129" s="33">
        <f>+[21]สรุป!$Q$8</f>
        <v>0</v>
      </c>
      <c r="R129" s="33">
        <f>+[21]สรุป!$R$8</f>
        <v>0</v>
      </c>
    </row>
    <row r="130" spans="1:18" s="28" customFormat="1">
      <c r="A130" s="26" t="s">
        <v>94</v>
      </c>
      <c r="B130" s="34">
        <f>+[1]สรุป!$B$53</f>
        <v>1045370</v>
      </c>
      <c r="C130" s="34">
        <f>+[1]สรุป!$C$53</f>
        <v>522685</v>
      </c>
      <c r="D130" s="34">
        <f>+[1]สรุป!$D$53</f>
        <v>0</v>
      </c>
      <c r="E130" s="34">
        <f>+[1]สรุป!$E$53</f>
        <v>0</v>
      </c>
      <c r="F130" s="34">
        <f>SUM(C130:E130)</f>
        <v>522685</v>
      </c>
      <c r="G130" s="34">
        <f>+[1]สรุป!$G$53</f>
        <v>0</v>
      </c>
      <c r="H130" s="34">
        <f>+[1]สรุป!$H$53</f>
        <v>0</v>
      </c>
      <c r="I130" s="34">
        <f>+[1]สรุป!$I$53</f>
        <v>0</v>
      </c>
      <c r="J130" s="34">
        <f>+[1]สรุป!$J$53</f>
        <v>0</v>
      </c>
      <c r="K130" s="34">
        <f>+[1]สรุป!$K$53</f>
        <v>1045370</v>
      </c>
      <c r="L130" s="34">
        <f>+[1]สรุป!L53</f>
        <v>522685</v>
      </c>
      <c r="M130" s="34">
        <f>+[1]สรุป!$M$53</f>
        <v>0</v>
      </c>
      <c r="N130" s="34">
        <f>+[1]สรุป!$N$53</f>
        <v>0</v>
      </c>
      <c r="O130" s="34">
        <f>+[1]สรุป!$O$53</f>
        <v>0</v>
      </c>
      <c r="P130" s="34">
        <f>+[1]สรุป!$P$53</f>
        <v>0</v>
      </c>
      <c r="Q130" s="34">
        <f>+[1]สรุป!Q53</f>
        <v>522685</v>
      </c>
      <c r="R130" s="34">
        <f>+[1]สรุป!R53</f>
        <v>1045370</v>
      </c>
    </row>
    <row r="131" spans="1:18" s="28" customFormat="1">
      <c r="A131" s="26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1:18" s="243" customFormat="1">
      <c r="A132" s="29" t="s">
        <v>95</v>
      </c>
      <c r="B132" s="30">
        <f>SUM(B133:B137)</f>
        <v>70879700</v>
      </c>
      <c r="C132" s="30">
        <f t="shared" ref="C132:R132" si="32">SUM(C133:C137)</f>
        <v>35439800</v>
      </c>
      <c r="D132" s="30">
        <f t="shared" si="32"/>
        <v>0</v>
      </c>
      <c r="E132" s="30">
        <f t="shared" si="32"/>
        <v>0</v>
      </c>
      <c r="F132" s="30">
        <f t="shared" si="32"/>
        <v>35439800</v>
      </c>
      <c r="G132" s="30">
        <f t="shared" si="32"/>
        <v>0</v>
      </c>
      <c r="H132" s="30">
        <f t="shared" si="32"/>
        <v>0</v>
      </c>
      <c r="I132" s="30">
        <f t="shared" si="32"/>
        <v>-400000</v>
      </c>
      <c r="J132" s="30">
        <f t="shared" si="32"/>
        <v>0</v>
      </c>
      <c r="K132" s="30">
        <f t="shared" si="32"/>
        <v>70479700</v>
      </c>
      <c r="L132" s="30">
        <f t="shared" si="32"/>
        <v>35039800</v>
      </c>
      <c r="M132" s="30">
        <f t="shared" si="32"/>
        <v>0</v>
      </c>
      <c r="N132" s="30">
        <f t="shared" si="32"/>
        <v>65700</v>
      </c>
      <c r="O132" s="30">
        <f t="shared" si="32"/>
        <v>132680</v>
      </c>
      <c r="P132" s="30">
        <f t="shared" si="32"/>
        <v>2374177.0299999998</v>
      </c>
      <c r="Q132" s="30">
        <f t="shared" si="32"/>
        <v>32467242.969999999</v>
      </c>
      <c r="R132" s="30">
        <f t="shared" si="32"/>
        <v>67907142.969999999</v>
      </c>
    </row>
    <row r="133" spans="1:18" s="28" customFormat="1">
      <c r="A133" s="26" t="s">
        <v>82</v>
      </c>
      <c r="B133" s="34">
        <f>+[6]สรุป!$B$14</f>
        <v>10406600</v>
      </c>
      <c r="C133" s="34">
        <f>+[6]สรุป!$C$14</f>
        <v>5203300</v>
      </c>
      <c r="D133" s="34">
        <f>+[6]สรุป!$D$14</f>
        <v>0</v>
      </c>
      <c r="E133" s="34">
        <f>+[6]สรุป!$E$14</f>
        <v>0</v>
      </c>
      <c r="F133" s="34">
        <f>SUM(C133:E133)</f>
        <v>5203300</v>
      </c>
      <c r="G133" s="34">
        <f>+[6]สรุป!$G$14</f>
        <v>0</v>
      </c>
      <c r="H133" s="34">
        <f>+[6]สรุป!$H$14</f>
        <v>0</v>
      </c>
      <c r="I133" s="34">
        <f>+[6]สรุป!$I$14</f>
        <v>0</v>
      </c>
      <c r="J133" s="34">
        <f>+[6]สรุป!$J$14</f>
        <v>0</v>
      </c>
      <c r="K133" s="34">
        <f>+[6]สรุป!$K$14</f>
        <v>10406600</v>
      </c>
      <c r="L133" s="34">
        <f>+[6]สรุป!L$14</f>
        <v>5203300</v>
      </c>
      <c r="M133" s="34">
        <f>+[6]สรุป!$M$14</f>
        <v>0</v>
      </c>
      <c r="N133" s="34">
        <f>+[6]สรุป!$N$14</f>
        <v>0</v>
      </c>
      <c r="O133" s="34">
        <f>+[6]สรุป!$O$14</f>
        <v>0</v>
      </c>
      <c r="P133" s="34">
        <f>+[6]สรุป!$P$14</f>
        <v>13000</v>
      </c>
      <c r="Q133" s="34">
        <f>+[6]สรุป!Q$14</f>
        <v>5190300</v>
      </c>
      <c r="R133" s="34">
        <f>+[6]สรุป!R$14</f>
        <v>10393600</v>
      </c>
    </row>
    <row r="134" spans="1:18" s="28" customFormat="1">
      <c r="A134" s="26" t="s">
        <v>85</v>
      </c>
      <c r="B134" s="34">
        <f>+[9]สรุป!$B$11</f>
        <v>34098900</v>
      </c>
      <c r="C134" s="34">
        <f>+[9]สรุป!$C$11</f>
        <v>17049450</v>
      </c>
      <c r="D134" s="34">
        <f>+[9]สรุป!$D$11</f>
        <v>0</v>
      </c>
      <c r="E134" s="34">
        <f>+[9]สรุป!$E$11</f>
        <v>0</v>
      </c>
      <c r="F134" s="34">
        <f t="shared" ref="F134:F137" si="33">SUM(C134:E134)</f>
        <v>17049450</v>
      </c>
      <c r="G134" s="34">
        <f>+[9]สรุป!$G$11</f>
        <v>0</v>
      </c>
      <c r="H134" s="34">
        <f>+[9]สรุป!$H$11</f>
        <v>0</v>
      </c>
      <c r="I134" s="34">
        <f>+[9]สรุป!$I$11</f>
        <v>0</v>
      </c>
      <c r="J134" s="34">
        <f>+[9]สรุป!$J$11</f>
        <v>0</v>
      </c>
      <c r="K134" s="34">
        <f>+[9]สรุป!$K$11</f>
        <v>34098900</v>
      </c>
      <c r="L134" s="34">
        <f>+[9]สรุป!L$11</f>
        <v>17049450</v>
      </c>
      <c r="M134" s="34">
        <f>+[9]สรุป!$M$11</f>
        <v>0</v>
      </c>
      <c r="N134" s="34">
        <f>+[9]สรุป!$N$11</f>
        <v>65700</v>
      </c>
      <c r="O134" s="34">
        <f>+[9]สรุป!$O$11</f>
        <v>132680</v>
      </c>
      <c r="P134" s="34">
        <f>+[9]สรุป!$P$11</f>
        <v>1394277.0299999998</v>
      </c>
      <c r="Q134" s="34">
        <f>+[9]สรุป!Q$11</f>
        <v>15456792.970000001</v>
      </c>
      <c r="R134" s="34">
        <f>+[9]สรุป!R$11</f>
        <v>32506242.969999999</v>
      </c>
    </row>
    <row r="135" spans="1:18" s="28" customFormat="1">
      <c r="A135" s="26" t="s">
        <v>78</v>
      </c>
      <c r="B135" s="34">
        <f>+[3]สรุป!$B$11</f>
        <v>1000000</v>
      </c>
      <c r="C135" s="34">
        <f>+[3]สรุป!$C$11</f>
        <v>500000</v>
      </c>
      <c r="D135" s="34">
        <f>+[3]สรุป!$D$11</f>
        <v>0</v>
      </c>
      <c r="E135" s="34">
        <f>+[3]สรุป!$E$11</f>
        <v>0</v>
      </c>
      <c r="F135" s="34">
        <f t="shared" si="33"/>
        <v>500000</v>
      </c>
      <c r="G135" s="34">
        <f>+[3]สรุป!$G$11</f>
        <v>0</v>
      </c>
      <c r="H135" s="34">
        <f>+[3]สรุป!$H$11</f>
        <v>0</v>
      </c>
      <c r="I135" s="34">
        <f>+[3]สรุป!$I$11</f>
        <v>0</v>
      </c>
      <c r="J135" s="34">
        <f>+[3]สรุป!$J$11</f>
        <v>0</v>
      </c>
      <c r="K135" s="34">
        <f>+[3]สรุป!$K$11</f>
        <v>1000000</v>
      </c>
      <c r="L135" s="34">
        <f>+[3]สรุป!L$11</f>
        <v>500000</v>
      </c>
      <c r="M135" s="34">
        <f>+[3]สรุป!$M$11</f>
        <v>0</v>
      </c>
      <c r="N135" s="34">
        <f>+[3]สรุป!$N$11</f>
        <v>0</v>
      </c>
      <c r="O135" s="34">
        <f>+[3]สรุป!$O$11</f>
        <v>0</v>
      </c>
      <c r="P135" s="34">
        <f>+[3]สรุป!$P$11</f>
        <v>0</v>
      </c>
      <c r="Q135" s="34">
        <f>+[3]สรุป!Q$11</f>
        <v>500000</v>
      </c>
      <c r="R135" s="34">
        <f>+[3]สรุป!R$11</f>
        <v>1000000</v>
      </c>
    </row>
    <row r="136" spans="1:18" s="28" customFormat="1">
      <c r="A136" s="26" t="s">
        <v>90</v>
      </c>
      <c r="B136" s="34">
        <f>+[13]สรุป!$B$15</f>
        <v>8980800</v>
      </c>
      <c r="C136" s="34">
        <f>+[13]สรุป!$C$15</f>
        <v>4490400</v>
      </c>
      <c r="D136" s="34">
        <f>+[13]สรุป!$D$15</f>
        <v>0</v>
      </c>
      <c r="E136" s="34">
        <f>+[13]สรุป!$E$15</f>
        <v>0</v>
      </c>
      <c r="F136" s="34">
        <f t="shared" si="33"/>
        <v>4490400</v>
      </c>
      <c r="G136" s="34">
        <f>+[13]สรุป!$G$15</f>
        <v>0</v>
      </c>
      <c r="H136" s="34">
        <f>+[13]สรุป!$H$15</f>
        <v>-818250</v>
      </c>
      <c r="I136" s="34">
        <f>+[13]สรุป!$I$15</f>
        <v>-400000</v>
      </c>
      <c r="J136" s="34">
        <f>+[13]สรุป!$J$15</f>
        <v>0</v>
      </c>
      <c r="K136" s="34">
        <f>+[13]สรุป!$K$15</f>
        <v>7762550</v>
      </c>
      <c r="L136" s="34">
        <f>+[13]สรุป!L$15</f>
        <v>3272150</v>
      </c>
      <c r="M136" s="34">
        <f>+[13]สรุป!$M$15</f>
        <v>0</v>
      </c>
      <c r="N136" s="34">
        <f>+[13]สรุป!$N$15</f>
        <v>0</v>
      </c>
      <c r="O136" s="34">
        <f>+[13]สรุป!$O$15</f>
        <v>0</v>
      </c>
      <c r="P136" s="34">
        <f>+[13]สรุป!$P$15</f>
        <v>587980</v>
      </c>
      <c r="Q136" s="34">
        <f>+[13]สรุป!Q$15</f>
        <v>2684170</v>
      </c>
      <c r="R136" s="34">
        <f>+[13]สรุป!R$15</f>
        <v>7174570</v>
      </c>
    </row>
    <row r="137" spans="1:18" s="28" customFormat="1">
      <c r="A137" s="26" t="s">
        <v>92</v>
      </c>
      <c r="B137" s="34">
        <f>+[14]สรุป!$B$11</f>
        <v>16393400</v>
      </c>
      <c r="C137" s="34">
        <f>+[14]สรุป!$C$11</f>
        <v>8196650</v>
      </c>
      <c r="D137" s="34">
        <f>+[14]สรุป!$D$11</f>
        <v>0</v>
      </c>
      <c r="E137" s="34">
        <f>+[14]สรุป!$E$11</f>
        <v>0</v>
      </c>
      <c r="F137" s="34">
        <f t="shared" si="33"/>
        <v>8196650</v>
      </c>
      <c r="G137" s="34">
        <f>+[14]สรุป!$G$11</f>
        <v>0</v>
      </c>
      <c r="H137" s="34">
        <f>+[14]สรุป!$H$11</f>
        <v>818250</v>
      </c>
      <c r="I137" s="34">
        <f>+[14]สรุป!$I$11</f>
        <v>0</v>
      </c>
      <c r="J137" s="34">
        <f>+[14]สรุป!$J$11</f>
        <v>0</v>
      </c>
      <c r="K137" s="34">
        <f>+[14]สรุป!$K$11</f>
        <v>17211650</v>
      </c>
      <c r="L137" s="34">
        <f>+[14]สรุป!L$11</f>
        <v>9014900</v>
      </c>
      <c r="M137" s="34">
        <f>+[14]สรุป!$M$11</f>
        <v>0</v>
      </c>
      <c r="N137" s="34">
        <f>+[14]สรุป!$N$11</f>
        <v>0</v>
      </c>
      <c r="O137" s="34">
        <f>+[14]สรุป!$O$11</f>
        <v>0</v>
      </c>
      <c r="P137" s="34">
        <f>+[14]สรุป!$P$11</f>
        <v>378920</v>
      </c>
      <c r="Q137" s="34">
        <f>+[14]สรุป!Q$11</f>
        <v>8635980</v>
      </c>
      <c r="R137" s="34">
        <f>+[14]สรุป!R$11</f>
        <v>16832730</v>
      </c>
    </row>
    <row r="138" spans="1:18">
      <c r="A138" s="26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</row>
    <row r="139" spans="1:18" s="243" customFormat="1">
      <c r="A139" s="29" t="s">
        <v>96</v>
      </c>
      <c r="B139" s="30">
        <f t="shared" ref="B139:R139" si="34">SUM(B140:B141)</f>
        <v>20700000</v>
      </c>
      <c r="C139" s="30">
        <f t="shared" si="34"/>
        <v>10350000</v>
      </c>
      <c r="D139" s="30">
        <f t="shared" si="34"/>
        <v>0</v>
      </c>
      <c r="E139" s="30">
        <f t="shared" si="34"/>
        <v>0</v>
      </c>
      <c r="F139" s="30">
        <f t="shared" si="34"/>
        <v>10350000</v>
      </c>
      <c r="G139" s="30">
        <f t="shared" si="34"/>
        <v>0</v>
      </c>
      <c r="H139" s="30">
        <f t="shared" si="34"/>
        <v>0</v>
      </c>
      <c r="I139" s="30">
        <f t="shared" si="34"/>
        <v>-2116864</v>
      </c>
      <c r="J139" s="30">
        <f t="shared" si="34"/>
        <v>0</v>
      </c>
      <c r="K139" s="30">
        <f t="shared" si="34"/>
        <v>18583136</v>
      </c>
      <c r="L139" s="30">
        <f t="shared" si="34"/>
        <v>8233136</v>
      </c>
      <c r="M139" s="30">
        <f t="shared" si="34"/>
        <v>0</v>
      </c>
      <c r="N139" s="30">
        <f t="shared" si="34"/>
        <v>47306.5</v>
      </c>
      <c r="O139" s="30">
        <f t="shared" si="34"/>
        <v>0</v>
      </c>
      <c r="P139" s="30">
        <f t="shared" si="34"/>
        <v>2971952</v>
      </c>
      <c r="Q139" s="30">
        <f t="shared" si="34"/>
        <v>5213877.5</v>
      </c>
      <c r="R139" s="30">
        <f t="shared" si="34"/>
        <v>15563877.5</v>
      </c>
    </row>
    <row r="140" spans="1:18" s="28" customFormat="1">
      <c r="A140" s="26" t="s">
        <v>83</v>
      </c>
      <c r="B140" s="34">
        <f>+[7]สรุป!$B$14</f>
        <v>8407500</v>
      </c>
      <c r="C140" s="34">
        <f>+[7]สรุป!$C$14</f>
        <v>4203750</v>
      </c>
      <c r="D140" s="34">
        <f>+[7]สรุป!$D$14</f>
        <v>0</v>
      </c>
      <c r="E140" s="34">
        <f>+[7]สรุป!$E$14</f>
        <v>0</v>
      </c>
      <c r="F140" s="34">
        <f>SUM(C140:E140)</f>
        <v>4203750</v>
      </c>
      <c r="G140" s="34">
        <f>+[7]สรุป!$G$14</f>
        <v>0</v>
      </c>
      <c r="H140" s="34">
        <f>+[7]สรุป!$H$14</f>
        <v>0</v>
      </c>
      <c r="I140" s="34">
        <f>+[7]สรุป!$I$14</f>
        <v>0</v>
      </c>
      <c r="J140" s="34">
        <f>+[7]สรุป!$J$14</f>
        <v>0</v>
      </c>
      <c r="K140" s="34">
        <f>+[7]สรุป!$K$14</f>
        <v>8407500</v>
      </c>
      <c r="L140" s="34">
        <f>+[7]สรุป!L$14</f>
        <v>4203750</v>
      </c>
      <c r="M140" s="34">
        <f>+[7]สรุป!$M$14</f>
        <v>0</v>
      </c>
      <c r="N140" s="34">
        <f>+[7]สรุป!$N$14</f>
        <v>47306.5</v>
      </c>
      <c r="O140" s="34">
        <f>+[7]สรุป!$O$14</f>
        <v>0</v>
      </c>
      <c r="P140" s="34">
        <f>+[7]สรุป!$P$14</f>
        <v>1342112</v>
      </c>
      <c r="Q140" s="34">
        <f>+[7]สรุป!Q$14</f>
        <v>2814331.5</v>
      </c>
      <c r="R140" s="34">
        <f>+[7]สรุป!R$14</f>
        <v>7018081.5</v>
      </c>
    </row>
    <row r="141" spans="1:18" s="28" customFormat="1">
      <c r="A141" s="26" t="s">
        <v>85</v>
      </c>
      <c r="B141" s="34">
        <f>+[9]สรุป!$B$13</f>
        <v>12292500</v>
      </c>
      <c r="C141" s="34">
        <f>+[9]สรุป!$C$13</f>
        <v>6146250</v>
      </c>
      <c r="D141" s="34">
        <f>+[9]สรุป!$D$13</f>
        <v>0</v>
      </c>
      <c r="E141" s="34">
        <f>+[9]สรุป!$E$13</f>
        <v>0</v>
      </c>
      <c r="F141" s="34">
        <f>SUM(C141:E141)</f>
        <v>6146250</v>
      </c>
      <c r="G141" s="34">
        <f>+[9]สรุป!$G$13</f>
        <v>0</v>
      </c>
      <c r="H141" s="34">
        <f>+[9]สรุป!$H$13</f>
        <v>0</v>
      </c>
      <c r="I141" s="34">
        <f>+[9]สรุป!$I$13</f>
        <v>-2116864</v>
      </c>
      <c r="J141" s="34">
        <f>+[9]สรุป!$J$13</f>
        <v>0</v>
      </c>
      <c r="K141" s="34">
        <f>+[9]สรุป!$K$13</f>
        <v>10175636</v>
      </c>
      <c r="L141" s="34">
        <f>+[9]สรุป!L$13</f>
        <v>4029386</v>
      </c>
      <c r="M141" s="34">
        <f>+[9]สรุป!$M$13</f>
        <v>0</v>
      </c>
      <c r="N141" s="34">
        <f>+[9]สรุป!$N$13</f>
        <v>0</v>
      </c>
      <c r="O141" s="34">
        <f>+[9]สรุป!$O$13</f>
        <v>0</v>
      </c>
      <c r="P141" s="34">
        <f>+[9]สรุป!$P$13</f>
        <v>1629840</v>
      </c>
      <c r="Q141" s="34">
        <f>+[9]สรุป!Q$13</f>
        <v>2399546</v>
      </c>
      <c r="R141" s="34">
        <f>+[9]สรุป!R$13</f>
        <v>8545796</v>
      </c>
    </row>
    <row r="144" spans="1:18">
      <c r="P144" s="222"/>
    </row>
  </sheetData>
  <pageMargins left="0.27559055118110237" right="0.15748031496062992" top="0.39370078740157483" bottom="0.19685039370078741" header="0.31496062992125984" footer="7.874015748031496E-2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24"/>
  <sheetViews>
    <sheetView workbookViewId="0">
      <pane xSplit="2" ySplit="8" topLeftCell="C114" activePane="bottomRight" state="frozen"/>
      <selection pane="topRight" activeCell="C1" sqref="C1"/>
      <selection pane="bottomLeft" activeCell="A9" sqref="A9"/>
      <selection pane="bottomRight" activeCell="F50" sqref="F50"/>
    </sheetView>
  </sheetViews>
  <sheetFormatPr defaultRowHeight="21"/>
  <cols>
    <col min="1" max="1" width="9" style="67"/>
    <col min="2" max="2" width="34.75" style="67" customWidth="1"/>
    <col min="3" max="3" width="18.375" style="67" customWidth="1"/>
    <col min="4" max="4" width="18.25" style="67" customWidth="1"/>
    <col min="5" max="5" width="17.125" style="67" customWidth="1"/>
    <col min="6" max="6" width="16.875" style="67" customWidth="1"/>
    <col min="7" max="7" width="13.75" style="67" customWidth="1"/>
    <col min="8" max="8" width="17" style="67" customWidth="1"/>
    <col min="9" max="11" width="15.375" style="67" customWidth="1"/>
    <col min="12" max="13" width="10.875" style="67" bestFit="1" customWidth="1"/>
    <col min="14" max="16384" width="9" style="67"/>
  </cols>
  <sheetData>
    <row r="1" spans="1:21" ht="21" customHeight="1">
      <c r="A1" s="1061" t="s">
        <v>189</v>
      </c>
      <c r="B1" s="1061"/>
      <c r="C1" s="1061"/>
      <c r="D1" s="1061"/>
      <c r="E1" s="1061"/>
      <c r="F1" s="1061"/>
      <c r="G1" s="1061"/>
      <c r="H1" s="1061"/>
      <c r="I1" s="1061"/>
      <c r="J1" s="1061"/>
      <c r="K1" s="1061"/>
      <c r="L1" s="66"/>
      <c r="M1" s="66"/>
      <c r="N1" s="66"/>
    </row>
    <row r="2" spans="1:21" ht="21" customHeight="1">
      <c r="A2" s="1089" t="s">
        <v>201</v>
      </c>
      <c r="B2" s="1089"/>
      <c r="C2" s="1089"/>
      <c r="D2" s="1089"/>
      <c r="E2" s="1089"/>
      <c r="F2" s="1089"/>
      <c r="G2" s="1089"/>
      <c r="H2" s="1089"/>
      <c r="I2" s="1089"/>
      <c r="J2" s="1089"/>
      <c r="K2" s="1089"/>
      <c r="L2" s="68"/>
      <c r="M2" s="68"/>
      <c r="N2" s="68"/>
    </row>
    <row r="3" spans="1:21">
      <c r="A3" s="1060" t="str">
        <f>+งบดำเนินงาน!A3</f>
        <v>ตั้งแต่วันที่ 1 ตุลาคม 2565 - 31 ธันวาคม 2565</v>
      </c>
      <c r="B3" s="1060"/>
      <c r="C3" s="1060"/>
      <c r="D3" s="1060"/>
      <c r="E3" s="1060"/>
      <c r="F3" s="1060"/>
      <c r="G3" s="1060"/>
      <c r="H3" s="1060"/>
      <c r="I3" s="1060"/>
      <c r="J3" s="1060"/>
      <c r="K3" s="1060"/>
      <c r="L3" s="69"/>
      <c r="M3" s="69"/>
      <c r="N3" s="69"/>
    </row>
    <row r="4" spans="1:21">
      <c r="A4" s="1010" t="str">
        <f>+งบดำเนินงาน!A4</f>
        <v xml:space="preserve"> เป้าหมาย อย. สิ้นสุด 31 ธ.ค.65  (ยอดเบิกจ่ายในภาพรวมรับจัดสรรงวดที่ 1 ร้อยละ 37.50 , งบลงทุน (เฉพาะรายการครุภัณฑ์จัดซื้อ) ร้อยละ 50)</v>
      </c>
      <c r="B4" s="1010"/>
      <c r="C4" s="1010"/>
      <c r="D4" s="1010"/>
      <c r="E4" s="1010"/>
      <c r="F4" s="1010"/>
      <c r="G4" s="1010"/>
      <c r="H4" s="1010"/>
      <c r="I4" s="1010"/>
      <c r="J4" s="1010"/>
      <c r="K4" s="1010"/>
      <c r="L4" s="115"/>
      <c r="M4" s="115"/>
      <c r="N4" s="115"/>
      <c r="O4" s="115"/>
      <c r="P4" s="115"/>
      <c r="Q4" s="115"/>
      <c r="R4" s="115"/>
      <c r="S4" s="115"/>
      <c r="T4" s="115"/>
      <c r="U4" s="115"/>
    </row>
    <row r="5" spans="1:21">
      <c r="A5" s="1010" t="str">
        <f>+งบดำเนินงาน!A5</f>
        <v xml:space="preserve"> เป้าหมายตามมติ ครม สิ้นสุด 31 ธ.ค.65  (ยอดเบิกจ่ายในภาพรวม ร้อยละ 32 , งบลงทุน  ร้อยละ 19)</v>
      </c>
      <c r="B5" s="1010"/>
      <c r="C5" s="1010"/>
      <c r="D5" s="1010"/>
      <c r="E5" s="1010"/>
      <c r="F5" s="1010"/>
      <c r="G5" s="1010"/>
      <c r="H5" s="1010"/>
      <c r="I5" s="1010"/>
      <c r="J5" s="1010"/>
      <c r="K5" s="1010"/>
      <c r="L5" s="115"/>
      <c r="M5" s="115"/>
      <c r="N5" s="115"/>
      <c r="O5" s="115"/>
      <c r="P5" s="115"/>
      <c r="Q5" s="115"/>
      <c r="R5" s="115"/>
      <c r="S5" s="115"/>
      <c r="T5" s="115"/>
      <c r="U5" s="115"/>
    </row>
    <row r="6" spans="1:21">
      <c r="A6" s="1010" t="str">
        <f>+งบดำเนินงาน!A6</f>
        <v xml:space="preserve"> เป้าหมายตามมติ ครม สิ้นสุด 31 ธ.ค.65  (ยอดใช้จ่ายในภาพรวม ร้อยละ 34.08 , งบลงทุน  ร้อยละ 28.96)</v>
      </c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15"/>
      <c r="M6" s="115"/>
      <c r="N6" s="115"/>
      <c r="O6" s="115"/>
      <c r="P6" s="115"/>
      <c r="Q6" s="115"/>
      <c r="R6" s="115"/>
      <c r="S6" s="115"/>
      <c r="T6" s="115"/>
      <c r="U6" s="115"/>
    </row>
    <row r="7" spans="1:21" ht="13.5" customHeight="1">
      <c r="A7" s="114"/>
      <c r="B7" s="114"/>
      <c r="C7" s="61" t="s">
        <v>191</v>
      </c>
      <c r="D7" s="61" t="s">
        <v>192</v>
      </c>
      <c r="E7" s="61" t="s">
        <v>193</v>
      </c>
      <c r="F7" s="61" t="s">
        <v>194</v>
      </c>
      <c r="G7" s="61" t="s">
        <v>195</v>
      </c>
      <c r="H7" s="61" t="s">
        <v>196</v>
      </c>
      <c r="I7" s="61" t="s">
        <v>304</v>
      </c>
      <c r="J7" s="61" t="s">
        <v>302</v>
      </c>
      <c r="K7" s="61" t="s">
        <v>303</v>
      </c>
    </row>
    <row r="8" spans="1:21" s="74" customFormat="1" ht="42">
      <c r="A8" s="70" t="s">
        <v>202</v>
      </c>
      <c r="B8" s="70" t="s">
        <v>167</v>
      </c>
      <c r="C8" s="71" t="s">
        <v>203</v>
      </c>
      <c r="D8" s="70" t="s">
        <v>204</v>
      </c>
      <c r="E8" s="71" t="s">
        <v>205</v>
      </c>
      <c r="F8" s="72" t="s">
        <v>5</v>
      </c>
      <c r="G8" s="72" t="s">
        <v>6</v>
      </c>
      <c r="H8" s="72" t="s">
        <v>7</v>
      </c>
      <c r="I8" s="73" t="s">
        <v>127</v>
      </c>
      <c r="J8" s="73" t="s">
        <v>121</v>
      </c>
      <c r="K8" s="72" t="s">
        <v>206</v>
      </c>
    </row>
    <row r="9" spans="1:21">
      <c r="A9" s="75" t="s">
        <v>207</v>
      </c>
      <c r="B9" s="75"/>
      <c r="C9" s="76"/>
      <c r="D9" s="76"/>
      <c r="E9" s="76"/>
      <c r="F9" s="76"/>
      <c r="G9" s="76"/>
      <c r="H9" s="76"/>
      <c r="I9" s="76"/>
      <c r="J9" s="76"/>
      <c r="K9" s="76"/>
    </row>
    <row r="10" spans="1:21" s="79" customFormat="1">
      <c r="A10" s="77" t="s">
        <v>208</v>
      </c>
      <c r="B10" s="77"/>
      <c r="C10" s="78">
        <f>+C11+C13+C23+C26+C33+C49+C55+C57+C64+C68</f>
        <v>15775700</v>
      </c>
      <c r="D10" s="308">
        <f t="shared" ref="D10:K10" si="0">+D11+D13+D23+D26+D33+D49+D55+D57+D64+D68</f>
        <v>-574590</v>
      </c>
      <c r="E10" s="78">
        <f t="shared" si="0"/>
        <v>15201110</v>
      </c>
      <c r="F10" s="78">
        <f t="shared" si="0"/>
        <v>337500</v>
      </c>
      <c r="G10" s="78">
        <f t="shared" si="0"/>
        <v>0</v>
      </c>
      <c r="H10" s="78">
        <f t="shared" si="0"/>
        <v>0</v>
      </c>
      <c r="I10" s="78">
        <f t="shared" si="0"/>
        <v>935227.4</v>
      </c>
      <c r="J10" s="78">
        <f t="shared" si="0"/>
        <v>1272727.3999999999</v>
      </c>
      <c r="K10" s="78">
        <f t="shared" si="0"/>
        <v>13928382.6</v>
      </c>
      <c r="L10" s="294"/>
      <c r="M10" s="294"/>
    </row>
    <row r="11" spans="1:21" s="69" customFormat="1">
      <c r="A11" s="80">
        <v>1</v>
      </c>
      <c r="B11" s="81" t="s">
        <v>82</v>
      </c>
      <c r="C11" s="82">
        <f>+[23]สรุปรายงาน!$C7</f>
        <v>9600</v>
      </c>
      <c r="D11" s="82">
        <f>+[23]สรุปรายงาน!$D7</f>
        <v>0</v>
      </c>
      <c r="E11" s="83">
        <f>+[25]ทะเบียนคุมงบลงทุน!V8</f>
        <v>9600</v>
      </c>
      <c r="F11" s="83">
        <f>+[23]สรุปรายงาน!$F7</f>
        <v>0</v>
      </c>
      <c r="G11" s="83">
        <f>+[23]สรุปรายงาน!$G7</f>
        <v>0</v>
      </c>
      <c r="H11" s="83">
        <f>+[23]สรุปรายงาน!$H7</f>
        <v>0</v>
      </c>
      <c r="I11" s="83">
        <f>+[23]สรุปรายงาน!$I7</f>
        <v>9600</v>
      </c>
      <c r="J11" s="83">
        <f>SUM(F11:I11)</f>
        <v>9600</v>
      </c>
      <c r="K11" s="83">
        <f>+E11-J11</f>
        <v>0</v>
      </c>
      <c r="L11" s="294"/>
      <c r="M11" s="294"/>
    </row>
    <row r="12" spans="1:21">
      <c r="A12" s="84"/>
      <c r="B12" s="85" t="s">
        <v>209</v>
      </c>
      <c r="C12" s="82">
        <f>+[23]สรุปรายงาน!$C8</f>
        <v>9600</v>
      </c>
      <c r="D12" s="82">
        <f>+[23]สรุปรายงาน!$D8</f>
        <v>0</v>
      </c>
      <c r="E12" s="86">
        <f>+[25]ทะเบียนคุมงบลงทุน!V9</f>
        <v>9600</v>
      </c>
      <c r="F12" s="83">
        <f>+[23]สรุปรายงาน!$F8</f>
        <v>0</v>
      </c>
      <c r="G12" s="83">
        <f>+[23]สรุปรายงาน!$G8</f>
        <v>0</v>
      </c>
      <c r="H12" s="86">
        <f>+[23]สรุปรายงาน!$H8</f>
        <v>0</v>
      </c>
      <c r="I12" s="86">
        <f>+[23]สรุปรายงาน!$I8</f>
        <v>9600</v>
      </c>
      <c r="J12" s="86">
        <f t="shared" ref="J12:J69" si="1">SUM(F12:I12)</f>
        <v>9600</v>
      </c>
      <c r="K12" s="86">
        <f t="shared" ref="K12:K75" si="2">+E12-J12</f>
        <v>0</v>
      </c>
      <c r="L12" s="294"/>
      <c r="M12" s="294"/>
    </row>
    <row r="13" spans="1:21" s="69" customFormat="1">
      <c r="A13" s="80">
        <v>2</v>
      </c>
      <c r="B13" s="81" t="s">
        <v>78</v>
      </c>
      <c r="C13" s="82">
        <f>+[23]สรุปรายงาน!$C9</f>
        <v>204700</v>
      </c>
      <c r="D13" s="82">
        <f>+[23]สรุปรายงาน!$D9</f>
        <v>0</v>
      </c>
      <c r="E13" s="83">
        <f>+[25]ทะเบียนคุมงบลงทุน!V14</f>
        <v>204700</v>
      </c>
      <c r="F13" s="83">
        <f>+[23]สรุปรายงาน!$F9</f>
        <v>0</v>
      </c>
      <c r="G13" s="83">
        <f>+[23]สรุปรายงาน!$G9</f>
        <v>0</v>
      </c>
      <c r="H13" s="83">
        <f>+[23]สรุปรายงาน!$H9</f>
        <v>0</v>
      </c>
      <c r="I13" s="83">
        <f>+[23]สรุปรายงาน!$I9</f>
        <v>178030.4</v>
      </c>
      <c r="J13" s="83">
        <f t="shared" si="1"/>
        <v>178030.4</v>
      </c>
      <c r="K13" s="83">
        <f t="shared" si="2"/>
        <v>26669.600000000006</v>
      </c>
      <c r="L13" s="294"/>
      <c r="M13" s="294"/>
    </row>
    <row r="14" spans="1:21">
      <c r="A14" s="84"/>
      <c r="B14" s="85" t="s">
        <v>210</v>
      </c>
      <c r="C14" s="82">
        <f>+[23]สรุปรายงาน!$C10</f>
        <v>2400</v>
      </c>
      <c r="D14" s="82">
        <f>+[23]สรุปรายงาน!$D10</f>
        <v>0</v>
      </c>
      <c r="E14" s="86">
        <f>+[25]ทะเบียนคุมงบลงทุน!V15</f>
        <v>2400</v>
      </c>
      <c r="F14" s="83">
        <f>+[23]สรุปรายงาน!$F10</f>
        <v>0</v>
      </c>
      <c r="G14" s="83">
        <f>+[23]สรุปรายงาน!$G10</f>
        <v>0</v>
      </c>
      <c r="H14" s="86">
        <f>+[23]สรุปรายงาน!$H10</f>
        <v>0</v>
      </c>
      <c r="I14" s="86">
        <f>+[23]สรุปรายงาน!$I10</f>
        <v>0</v>
      </c>
      <c r="J14" s="86">
        <f t="shared" si="1"/>
        <v>0</v>
      </c>
      <c r="K14" s="86">
        <f t="shared" si="2"/>
        <v>2400</v>
      </c>
      <c r="L14" s="294"/>
      <c r="M14" s="294"/>
    </row>
    <row r="15" spans="1:21">
      <c r="A15" s="84"/>
      <c r="B15" s="85" t="s">
        <v>211</v>
      </c>
      <c r="C15" s="82">
        <f>+[23]สรุปรายงาน!$C11</f>
        <v>2300</v>
      </c>
      <c r="D15" s="82">
        <f>+[23]สรุปรายงาน!$D11</f>
        <v>0</v>
      </c>
      <c r="E15" s="86">
        <f>+[25]ทะเบียนคุมงบลงทุน!V16</f>
        <v>2300</v>
      </c>
      <c r="F15" s="83">
        <f>+[23]สรุปรายงาน!$F11</f>
        <v>0</v>
      </c>
      <c r="G15" s="83">
        <f>+[23]สรุปรายงาน!$G11</f>
        <v>0</v>
      </c>
      <c r="H15" s="86">
        <f>+[23]สรุปรายงาน!$H11</f>
        <v>0</v>
      </c>
      <c r="I15" s="86">
        <f>+[23]สรุปรายงาน!$I11</f>
        <v>0</v>
      </c>
      <c r="J15" s="86">
        <f t="shared" si="1"/>
        <v>0</v>
      </c>
      <c r="K15" s="86">
        <f t="shared" si="2"/>
        <v>2300</v>
      </c>
      <c r="L15" s="294"/>
      <c r="M15" s="294"/>
    </row>
    <row r="16" spans="1:21" ht="42">
      <c r="A16" s="84"/>
      <c r="B16" s="85" t="s">
        <v>212</v>
      </c>
      <c r="C16" s="82">
        <f>+[23]สรุปรายงาน!$C12</f>
        <v>19300</v>
      </c>
      <c r="D16" s="82">
        <f>+[23]สรุปรายงาน!$D12</f>
        <v>0</v>
      </c>
      <c r="E16" s="86">
        <f>+[25]ทะเบียนคุมงบลงทุน!V17</f>
        <v>19300</v>
      </c>
      <c r="F16" s="83">
        <f>+[23]สรุปรายงาน!$F12</f>
        <v>0</v>
      </c>
      <c r="G16" s="83">
        <f>+[23]สรุปรายงาน!$G12</f>
        <v>0</v>
      </c>
      <c r="H16" s="86">
        <f>+[23]สรุปรายงาน!$H12</f>
        <v>0</v>
      </c>
      <c r="I16" s="86">
        <f>+[23]สรุปรายงาน!$I12</f>
        <v>19300</v>
      </c>
      <c r="J16" s="86">
        <f t="shared" si="1"/>
        <v>19300</v>
      </c>
      <c r="K16" s="86">
        <f t="shared" si="2"/>
        <v>0</v>
      </c>
      <c r="L16" s="294"/>
      <c r="M16" s="294"/>
    </row>
    <row r="17" spans="1:13">
      <c r="A17" s="84"/>
      <c r="B17" s="87" t="s">
        <v>213</v>
      </c>
      <c r="C17" s="82">
        <f>+[23]สรุปรายงาน!$C13</f>
        <v>4800</v>
      </c>
      <c r="D17" s="82">
        <f>+[23]สรุปรายงาน!$D13</f>
        <v>0</v>
      </c>
      <c r="E17" s="86">
        <f>+[25]ทะเบียนคุมงบลงทุน!V18</f>
        <v>4800</v>
      </c>
      <c r="F17" s="83">
        <f>+[23]สรุปรายงาน!$F13</f>
        <v>0</v>
      </c>
      <c r="G17" s="83">
        <f>+[23]สรุปรายงาน!$G13</f>
        <v>0</v>
      </c>
      <c r="H17" s="86">
        <f>+[23]สรุปรายงาน!$H13</f>
        <v>0</v>
      </c>
      <c r="I17" s="86">
        <f>+[23]สรุปรายงาน!$I13</f>
        <v>0</v>
      </c>
      <c r="J17" s="86">
        <f t="shared" si="1"/>
        <v>0</v>
      </c>
      <c r="K17" s="86">
        <f t="shared" si="2"/>
        <v>4800</v>
      </c>
      <c r="L17" s="294"/>
      <c r="M17" s="294"/>
    </row>
    <row r="18" spans="1:13">
      <c r="A18" s="84"/>
      <c r="B18" s="87" t="s">
        <v>214</v>
      </c>
      <c r="C18" s="82">
        <f>+[23]สรุปรายงาน!$C14</f>
        <v>2300</v>
      </c>
      <c r="D18" s="82">
        <f>+[23]สรุปรายงาน!$D14</f>
        <v>0</v>
      </c>
      <c r="E18" s="86">
        <f>+[25]ทะเบียนคุมงบลงทุน!V19</f>
        <v>2300</v>
      </c>
      <c r="F18" s="83">
        <f>+[23]สรุปรายงาน!$F14</f>
        <v>0</v>
      </c>
      <c r="G18" s="83">
        <f>+[23]สรุปรายงาน!$G14</f>
        <v>0</v>
      </c>
      <c r="H18" s="86">
        <f>+[23]สรุปรายงาน!$H14</f>
        <v>0</v>
      </c>
      <c r="I18" s="86">
        <f>+[23]สรุปรายงาน!$I14</f>
        <v>0</v>
      </c>
      <c r="J18" s="86">
        <f t="shared" si="1"/>
        <v>0</v>
      </c>
      <c r="K18" s="86">
        <f t="shared" si="2"/>
        <v>2300</v>
      </c>
      <c r="L18" s="294"/>
      <c r="M18" s="294"/>
    </row>
    <row r="19" spans="1:13">
      <c r="A19" s="84"/>
      <c r="B19" s="87" t="s">
        <v>215</v>
      </c>
      <c r="C19" s="82">
        <f>+[23]สรุปรายงาน!$C15</f>
        <v>45600</v>
      </c>
      <c r="D19" s="82">
        <f>+[23]สรุปรายงาน!$D15</f>
        <v>0</v>
      </c>
      <c r="E19" s="86">
        <f>+[25]ทะเบียนคุมงบลงทุน!V20</f>
        <v>45600</v>
      </c>
      <c r="F19" s="83">
        <f>+[23]สรุปรายงาน!$F15</f>
        <v>0</v>
      </c>
      <c r="G19" s="83">
        <f>+[23]สรุปรายงาน!$G15</f>
        <v>0</v>
      </c>
      <c r="H19" s="86">
        <f>+[23]สรุปรายงาน!$H15</f>
        <v>0</v>
      </c>
      <c r="I19" s="86">
        <f>+[23]สรุปรายงาน!$I15</f>
        <v>30730.400000000001</v>
      </c>
      <c r="J19" s="86">
        <f t="shared" si="1"/>
        <v>30730.400000000001</v>
      </c>
      <c r="K19" s="86">
        <f t="shared" si="2"/>
        <v>14869.599999999999</v>
      </c>
      <c r="L19" s="294"/>
      <c r="M19" s="294"/>
    </row>
    <row r="20" spans="1:13" ht="69.75" customHeight="1">
      <c r="A20" s="84"/>
      <c r="B20" s="87" t="s">
        <v>216</v>
      </c>
      <c r="C20" s="82">
        <f>+[23]สรุปรายงาน!$C16</f>
        <v>47000</v>
      </c>
      <c r="D20" s="82">
        <f>+[23]สรุปรายงาน!$D16</f>
        <v>0</v>
      </c>
      <c r="E20" s="86">
        <f>+[25]ทะเบียนคุมงบลงทุน!V21</f>
        <v>47000</v>
      </c>
      <c r="F20" s="83">
        <f>+[23]สรุปรายงาน!$F16</f>
        <v>0</v>
      </c>
      <c r="G20" s="83">
        <f>+[23]สรุปรายงาน!$G16</f>
        <v>0</v>
      </c>
      <c r="H20" s="86">
        <f>+[23]สรุปรายงาน!$H16</f>
        <v>0</v>
      </c>
      <c r="I20" s="86">
        <f>+[23]สรุปรายงาน!$I16</f>
        <v>47000</v>
      </c>
      <c r="J20" s="86">
        <f t="shared" si="1"/>
        <v>47000</v>
      </c>
      <c r="K20" s="86">
        <f t="shared" si="2"/>
        <v>0</v>
      </c>
      <c r="L20" s="294"/>
      <c r="M20" s="294"/>
    </row>
    <row r="21" spans="1:13" ht="68.25" customHeight="1">
      <c r="A21" s="84"/>
      <c r="B21" s="87" t="s">
        <v>217</v>
      </c>
      <c r="C21" s="82">
        <f>+[23]สรุปรายงาน!$C17</f>
        <v>55000</v>
      </c>
      <c r="D21" s="82">
        <f>+[23]สรุปรายงาน!$D17</f>
        <v>0</v>
      </c>
      <c r="E21" s="86">
        <f>+[25]ทะเบียนคุมงบลงทุน!V22</f>
        <v>55000</v>
      </c>
      <c r="F21" s="83">
        <f>+[23]สรุปรายงาน!$F17</f>
        <v>0</v>
      </c>
      <c r="G21" s="83">
        <f>+[23]สรุปรายงาน!$G17</f>
        <v>0</v>
      </c>
      <c r="H21" s="86">
        <f>+[23]สรุปรายงาน!$H17</f>
        <v>0</v>
      </c>
      <c r="I21" s="86">
        <f>+[23]สรุปรายงาน!$I17</f>
        <v>55000</v>
      </c>
      <c r="J21" s="86">
        <f>SUM(F21:I21)</f>
        <v>55000</v>
      </c>
      <c r="K21" s="86">
        <f t="shared" si="2"/>
        <v>0</v>
      </c>
      <c r="L21" s="294"/>
      <c r="M21" s="294"/>
    </row>
    <row r="22" spans="1:13" ht="65.25" customHeight="1">
      <c r="A22" s="84"/>
      <c r="B22" s="87" t="s">
        <v>218</v>
      </c>
      <c r="C22" s="82">
        <f>+[23]สรุปรายงาน!$C18</f>
        <v>26000</v>
      </c>
      <c r="D22" s="82">
        <f>+[23]สรุปรายงาน!$D18</f>
        <v>0</v>
      </c>
      <c r="E22" s="86">
        <f>+[25]ทะเบียนคุมงบลงทุน!V23</f>
        <v>26000</v>
      </c>
      <c r="F22" s="83">
        <f>+[23]สรุปรายงาน!$F18</f>
        <v>0</v>
      </c>
      <c r="G22" s="83">
        <f>+[23]สรุปรายงาน!$G18</f>
        <v>0</v>
      </c>
      <c r="H22" s="86">
        <f>+[23]สรุปรายงาน!$H18</f>
        <v>0</v>
      </c>
      <c r="I22" s="86">
        <f>+[23]สรุปรายงาน!$I18</f>
        <v>26000</v>
      </c>
      <c r="J22" s="86">
        <f t="shared" si="1"/>
        <v>26000</v>
      </c>
      <c r="K22" s="86">
        <f t="shared" si="2"/>
        <v>0</v>
      </c>
      <c r="L22" s="294"/>
      <c r="M22" s="294"/>
    </row>
    <row r="23" spans="1:13">
      <c r="A23" s="80">
        <v>3</v>
      </c>
      <c r="B23" s="81" t="s">
        <v>83</v>
      </c>
      <c r="C23" s="82">
        <f>+[23]สรุปรายงาน!$C19</f>
        <v>57600</v>
      </c>
      <c r="D23" s="82">
        <f>+[23]สรุปรายงาน!$D19</f>
        <v>0</v>
      </c>
      <c r="E23" s="86">
        <f>+[25]ทะเบียนคุมงบลงทุน!V41</f>
        <v>57600</v>
      </c>
      <c r="F23" s="83">
        <f>+[23]สรุปรายงาน!$F19</f>
        <v>0</v>
      </c>
      <c r="G23" s="83">
        <f>+[23]สรุปรายงาน!$G19</f>
        <v>0</v>
      </c>
      <c r="H23" s="83">
        <f>+[23]สรุปรายงาน!$H19</f>
        <v>0</v>
      </c>
      <c r="I23" s="83">
        <f>+[23]สรุปรายงาน!$I19</f>
        <v>56900</v>
      </c>
      <c r="J23" s="83">
        <f t="shared" si="1"/>
        <v>56900</v>
      </c>
      <c r="K23" s="83">
        <f t="shared" si="2"/>
        <v>700</v>
      </c>
      <c r="L23" s="294"/>
      <c r="M23" s="294"/>
    </row>
    <row r="24" spans="1:13">
      <c r="A24" s="84"/>
      <c r="B24" s="85" t="s">
        <v>219</v>
      </c>
      <c r="C24" s="82">
        <f>+[23]สรุปรายงาน!$C20</f>
        <v>19000</v>
      </c>
      <c r="D24" s="82">
        <f>+[23]สรุปรายงาน!$D20</f>
        <v>0</v>
      </c>
      <c r="E24" s="86">
        <f>+[25]ทะเบียนคุมงบลงทุน!V42</f>
        <v>19000</v>
      </c>
      <c r="F24" s="83">
        <f>+[23]สรุปรายงาน!$F20</f>
        <v>0</v>
      </c>
      <c r="G24" s="83">
        <f>+[23]สรุปรายงาน!$G20</f>
        <v>0</v>
      </c>
      <c r="H24" s="86">
        <f>+[23]สรุปรายงาน!$H20</f>
        <v>0</v>
      </c>
      <c r="I24" s="86">
        <f>+[23]สรุปรายงาน!$I20</f>
        <v>19000</v>
      </c>
      <c r="J24" s="86">
        <f t="shared" si="1"/>
        <v>19000</v>
      </c>
      <c r="K24" s="86">
        <f t="shared" si="2"/>
        <v>0</v>
      </c>
      <c r="L24" s="294"/>
      <c r="M24" s="294"/>
    </row>
    <row r="25" spans="1:13">
      <c r="A25" s="84"/>
      <c r="B25" s="85" t="s">
        <v>220</v>
      </c>
      <c r="C25" s="82">
        <f>+[23]สรุปรายงาน!$C21</f>
        <v>38600</v>
      </c>
      <c r="D25" s="82">
        <f>+[23]สรุปรายงาน!$D21</f>
        <v>0</v>
      </c>
      <c r="E25" s="86">
        <f>+[25]ทะเบียนคุมงบลงทุน!V43</f>
        <v>38600</v>
      </c>
      <c r="F25" s="83">
        <f>+[23]สรุปรายงาน!$F21</f>
        <v>0</v>
      </c>
      <c r="G25" s="83">
        <f>+[23]สรุปรายงาน!$G21</f>
        <v>0</v>
      </c>
      <c r="H25" s="86">
        <f>+[23]สรุปรายงาน!$H21</f>
        <v>0</v>
      </c>
      <c r="I25" s="86">
        <f>+[23]สรุปรายงาน!$I21</f>
        <v>37900</v>
      </c>
      <c r="J25" s="86">
        <f t="shared" si="1"/>
        <v>37900</v>
      </c>
      <c r="K25" s="86">
        <f t="shared" si="2"/>
        <v>700</v>
      </c>
      <c r="L25" s="294"/>
      <c r="M25" s="294"/>
    </row>
    <row r="26" spans="1:13" s="69" customFormat="1">
      <c r="A26" s="80">
        <v>4</v>
      </c>
      <c r="B26" s="81" t="s">
        <v>81</v>
      </c>
      <c r="C26" s="82">
        <f>+[23]สรุปรายงาน!$C22</f>
        <v>138900</v>
      </c>
      <c r="D26" s="82">
        <f>+[23]สรุปรายงาน!$D22</f>
        <v>0</v>
      </c>
      <c r="E26" s="83">
        <f>+[25]ทะเบียนคุมงบลงทุน!V45</f>
        <v>138900</v>
      </c>
      <c r="F26" s="83">
        <f>+[23]สรุปรายงาน!$F22</f>
        <v>0</v>
      </c>
      <c r="G26" s="83">
        <f>+[23]สรุปรายงาน!$G22</f>
        <v>0</v>
      </c>
      <c r="H26" s="83">
        <f>+[23]สรุปรายงาน!$H22</f>
        <v>0</v>
      </c>
      <c r="I26" s="83">
        <f>+[23]สรุปรายงาน!$I22</f>
        <v>113475</v>
      </c>
      <c r="J26" s="83">
        <f t="shared" si="1"/>
        <v>113475</v>
      </c>
      <c r="K26" s="83">
        <f t="shared" si="2"/>
        <v>25425</v>
      </c>
      <c r="L26" s="294"/>
      <c r="M26" s="294"/>
    </row>
    <row r="27" spans="1:13">
      <c r="A27" s="88"/>
      <c r="B27" s="85" t="s">
        <v>221</v>
      </c>
      <c r="C27" s="82">
        <f>+[23]สรุปรายงาน!$C23</f>
        <v>31000</v>
      </c>
      <c r="D27" s="82">
        <f>+[23]สรุปรายงาน!$D23</f>
        <v>0</v>
      </c>
      <c r="E27" s="86">
        <f>+[25]ทะเบียนคุมงบลงทุน!V46</f>
        <v>31000</v>
      </c>
      <c r="F27" s="83">
        <f>+[23]สรุปรายงาน!$F23</f>
        <v>0</v>
      </c>
      <c r="G27" s="83">
        <f>+[23]สรุปรายงาน!$G23</f>
        <v>0</v>
      </c>
      <c r="H27" s="86">
        <f>+[23]สรุปรายงาน!$H23</f>
        <v>0</v>
      </c>
      <c r="I27" s="86">
        <f>+[23]สรุปรายงาน!$I23</f>
        <v>18500</v>
      </c>
      <c r="J27" s="86">
        <f>SUM(F27:I27)</f>
        <v>18500</v>
      </c>
      <c r="K27" s="86">
        <f t="shared" si="2"/>
        <v>12500</v>
      </c>
      <c r="L27" s="294"/>
      <c r="M27" s="294"/>
    </row>
    <row r="28" spans="1:13">
      <c r="A28" s="88"/>
      <c r="B28" s="85" t="s">
        <v>222</v>
      </c>
      <c r="C28" s="82">
        <f>+[23]สรุปรายงาน!$C24</f>
        <v>16000</v>
      </c>
      <c r="D28" s="82">
        <f>+[23]สรุปรายงาน!$D24</f>
        <v>0</v>
      </c>
      <c r="E28" s="86">
        <f>+[25]ทะเบียนคุมงบลงทุน!V47</f>
        <v>16000</v>
      </c>
      <c r="F28" s="83">
        <f>+[23]สรุปรายงาน!$F24</f>
        <v>0</v>
      </c>
      <c r="G28" s="83">
        <f>+[23]สรุปรายงาน!$G24</f>
        <v>0</v>
      </c>
      <c r="H28" s="86">
        <f>+[23]สรุปรายงาน!$H24</f>
        <v>0</v>
      </c>
      <c r="I28" s="86">
        <f>+[23]สรุปรายงาน!$I24</f>
        <v>15840</v>
      </c>
      <c r="J28" s="86">
        <f t="shared" si="1"/>
        <v>15840</v>
      </c>
      <c r="K28" s="86">
        <f t="shared" si="2"/>
        <v>160</v>
      </c>
      <c r="L28" s="294"/>
      <c r="M28" s="294"/>
    </row>
    <row r="29" spans="1:13" ht="92.25" customHeight="1">
      <c r="A29" s="88"/>
      <c r="B29" s="87" t="s">
        <v>223</v>
      </c>
      <c r="C29" s="82">
        <f>+[23]สรุปรายงาน!$C25</f>
        <v>30000</v>
      </c>
      <c r="D29" s="82">
        <f>+[23]สรุปรายงาน!$D25</f>
        <v>0</v>
      </c>
      <c r="E29" s="86">
        <f>+[25]ทะเบียนคุมงบลงทุน!V48</f>
        <v>30000</v>
      </c>
      <c r="F29" s="83">
        <f>+[23]สรุปรายงาน!$F25</f>
        <v>0</v>
      </c>
      <c r="G29" s="83">
        <f>+[23]สรุปรายงาน!$G25</f>
        <v>0</v>
      </c>
      <c r="H29" s="86">
        <f>+[23]สรุปรายงาน!$H25</f>
        <v>0</v>
      </c>
      <c r="I29" s="86">
        <f>+[23]สรุปรายงาน!$I25</f>
        <v>29000</v>
      </c>
      <c r="J29" s="86">
        <f t="shared" si="1"/>
        <v>29000</v>
      </c>
      <c r="K29" s="86">
        <f t="shared" si="2"/>
        <v>1000</v>
      </c>
      <c r="L29" s="294"/>
      <c r="M29" s="294"/>
    </row>
    <row r="30" spans="1:13" ht="56.25" customHeight="1">
      <c r="A30" s="88"/>
      <c r="B30" s="85" t="s">
        <v>224</v>
      </c>
      <c r="C30" s="82">
        <f>+[23]สรุปรายงาน!$C26</f>
        <v>30000</v>
      </c>
      <c r="D30" s="82">
        <f>+[23]สรุปรายงาน!$D26</f>
        <v>0</v>
      </c>
      <c r="E30" s="86">
        <f>+[25]ทะเบียนคุมงบลงทุน!V49</f>
        <v>30000</v>
      </c>
      <c r="F30" s="83">
        <f>+[23]สรุปรายงาน!$F26</f>
        <v>0</v>
      </c>
      <c r="G30" s="83">
        <f>+[23]สรุปรายงาน!$G26</f>
        <v>0</v>
      </c>
      <c r="H30" s="86">
        <f>+[23]สรุปรายงาน!$H26</f>
        <v>0</v>
      </c>
      <c r="I30" s="86">
        <f>+[23]สรุปรายงาน!$I26</f>
        <v>27285</v>
      </c>
      <c r="J30" s="86">
        <f t="shared" si="1"/>
        <v>27285</v>
      </c>
      <c r="K30" s="86">
        <f t="shared" si="2"/>
        <v>2715</v>
      </c>
      <c r="L30" s="294"/>
      <c r="M30" s="294"/>
    </row>
    <row r="31" spans="1:13">
      <c r="A31" s="88"/>
      <c r="B31" s="85" t="s">
        <v>225</v>
      </c>
      <c r="C31" s="82">
        <f>+[23]สรุปรายงาน!$C27</f>
        <v>21700</v>
      </c>
      <c r="D31" s="82">
        <f>+[23]สรุปรายงาน!$D27</f>
        <v>0</v>
      </c>
      <c r="E31" s="86">
        <f>+[25]ทะเบียนคุมงบลงทุน!V50</f>
        <v>21700</v>
      </c>
      <c r="F31" s="83">
        <f>+[23]สรุปรายงาน!$F27</f>
        <v>0</v>
      </c>
      <c r="G31" s="83">
        <f>+[23]สรุปรายงาน!$G27</f>
        <v>0</v>
      </c>
      <c r="H31" s="86">
        <f>+[23]สรุปรายงาน!$H27</f>
        <v>0</v>
      </c>
      <c r="I31" s="86">
        <f>+[23]สรุปรายงาน!$I27</f>
        <v>12950</v>
      </c>
      <c r="J31" s="86">
        <f t="shared" si="1"/>
        <v>12950</v>
      </c>
      <c r="K31" s="86">
        <f t="shared" si="2"/>
        <v>8750</v>
      </c>
      <c r="L31" s="294"/>
      <c r="M31" s="294"/>
    </row>
    <row r="32" spans="1:13">
      <c r="A32" s="88"/>
      <c r="B32" s="85" t="s">
        <v>226</v>
      </c>
      <c r="C32" s="82">
        <f>+[23]สรุปรายงาน!$C28</f>
        <v>10200</v>
      </c>
      <c r="D32" s="82">
        <f>+[23]สรุปรายงาน!$D28</f>
        <v>0</v>
      </c>
      <c r="E32" s="86">
        <f>+[25]ทะเบียนคุมงบลงทุน!V51</f>
        <v>10200</v>
      </c>
      <c r="F32" s="83">
        <f>+[23]สรุปรายงาน!$F28</f>
        <v>0</v>
      </c>
      <c r="G32" s="83">
        <f>+[23]สรุปรายงาน!$G28</f>
        <v>0</v>
      </c>
      <c r="H32" s="86">
        <f>+[23]สรุปรายงาน!$H28</f>
        <v>0</v>
      </c>
      <c r="I32" s="86">
        <f>+[23]สรุปรายงาน!$I28</f>
        <v>9900</v>
      </c>
      <c r="J32" s="86">
        <f t="shared" si="1"/>
        <v>9900</v>
      </c>
      <c r="K32" s="86">
        <f t="shared" si="2"/>
        <v>300</v>
      </c>
      <c r="L32" s="294"/>
      <c r="M32" s="294"/>
    </row>
    <row r="33" spans="1:13" s="69" customFormat="1">
      <c r="A33" s="80">
        <v>5</v>
      </c>
      <c r="B33" s="89" t="s">
        <v>77</v>
      </c>
      <c r="C33" s="82">
        <f>+[23]สรุปรายงาน!$C29</f>
        <v>5190100</v>
      </c>
      <c r="D33" s="82">
        <f>+[23]สรุปรายงาน!$D29</f>
        <v>0</v>
      </c>
      <c r="E33" s="83">
        <f>+[25]ทะเบียนคุมงบลงทุน!V53</f>
        <v>5190100</v>
      </c>
      <c r="F33" s="83">
        <f>+[23]สรุปรายงาน!$F29</f>
        <v>91500</v>
      </c>
      <c r="G33" s="83">
        <f>+[23]สรุปรายงาน!$G29</f>
        <v>0</v>
      </c>
      <c r="H33" s="83">
        <f>+[23]สรุปรายงาน!$H29</f>
        <v>0</v>
      </c>
      <c r="I33" s="83">
        <f>+[23]สรุปรายงาน!$I29</f>
        <v>43000</v>
      </c>
      <c r="J33" s="83">
        <f t="shared" si="1"/>
        <v>134500</v>
      </c>
      <c r="K33" s="83">
        <f t="shared" si="2"/>
        <v>5055600</v>
      </c>
      <c r="L33" s="294"/>
      <c r="M33" s="294"/>
    </row>
    <row r="34" spans="1:13" ht="78" customHeight="1">
      <c r="A34" s="84"/>
      <c r="B34" s="90" t="s">
        <v>227</v>
      </c>
      <c r="C34" s="82">
        <f>+[23]สรุปรายงาน!$C30</f>
        <v>2288000</v>
      </c>
      <c r="D34" s="82">
        <f>+[23]สรุปรายงาน!$D30</f>
        <v>0</v>
      </c>
      <c r="E34" s="86">
        <f>+[25]ทะเบียนคุมงบลงทุน!V54</f>
        <v>2288000</v>
      </c>
      <c r="F34" s="83">
        <f>+[23]สรุปรายงาน!$F30</f>
        <v>0</v>
      </c>
      <c r="G34" s="83">
        <f>+[23]สรุปรายงาน!$G30</f>
        <v>0</v>
      </c>
      <c r="H34" s="83">
        <f>+[23]สรุปรายงาน!$H30</f>
        <v>0</v>
      </c>
      <c r="I34" s="83">
        <f>+[23]สรุปรายงาน!$I30</f>
        <v>0</v>
      </c>
      <c r="J34" s="83">
        <f t="shared" si="1"/>
        <v>0</v>
      </c>
      <c r="K34" s="86">
        <f t="shared" si="2"/>
        <v>2288000</v>
      </c>
      <c r="L34" s="294"/>
      <c r="M34" s="294"/>
    </row>
    <row r="35" spans="1:13" ht="75.75" customHeight="1">
      <c r="A35" s="84"/>
      <c r="B35" s="90" t="s">
        <v>228</v>
      </c>
      <c r="C35" s="82">
        <f>+[23]สรุปรายงาน!$C31</f>
        <v>107000</v>
      </c>
      <c r="D35" s="82">
        <f>+[23]สรุปรายงาน!$D31</f>
        <v>0</v>
      </c>
      <c r="E35" s="86">
        <f>+[25]ทะเบียนคุมงบลงทุน!V55</f>
        <v>107000</v>
      </c>
      <c r="F35" s="83">
        <f>+[23]สรุปรายงาน!$F31</f>
        <v>0</v>
      </c>
      <c r="G35" s="83">
        <f>+[23]สรุปรายงาน!$G31</f>
        <v>0</v>
      </c>
      <c r="H35" s="83">
        <f>+[23]สรุปรายงาน!$H31</f>
        <v>0</v>
      </c>
      <c r="I35" s="83">
        <f>+[23]สรุปรายงาน!$I31</f>
        <v>0</v>
      </c>
      <c r="J35" s="83">
        <f>SUM(F35:I35)</f>
        <v>0</v>
      </c>
      <c r="K35" s="86">
        <f t="shared" si="2"/>
        <v>107000</v>
      </c>
      <c r="L35" s="294"/>
      <c r="M35" s="294"/>
    </row>
    <row r="36" spans="1:13" ht="42">
      <c r="A36" s="84"/>
      <c r="B36" s="90" t="s">
        <v>229</v>
      </c>
      <c r="C36" s="82">
        <f>+[23]สรุปรายงาน!$C32</f>
        <v>23500</v>
      </c>
      <c r="D36" s="82">
        <f>+[23]สรุปรายงาน!$D32</f>
        <v>0</v>
      </c>
      <c r="E36" s="86">
        <f>+[25]ทะเบียนคุมงบลงทุน!V56</f>
        <v>23500</v>
      </c>
      <c r="F36" s="83">
        <f>+[23]สรุปรายงาน!$F32</f>
        <v>0</v>
      </c>
      <c r="G36" s="83">
        <f>+[23]สรุปรายงาน!$G32</f>
        <v>0</v>
      </c>
      <c r="H36" s="83">
        <f>+[23]สรุปรายงาน!$H32</f>
        <v>0</v>
      </c>
      <c r="I36" s="83">
        <f>+[23]สรุปรายงาน!$I32</f>
        <v>0</v>
      </c>
      <c r="J36" s="83">
        <f t="shared" si="1"/>
        <v>0</v>
      </c>
      <c r="K36" s="86">
        <f t="shared" si="2"/>
        <v>23500</v>
      </c>
      <c r="L36" s="294"/>
      <c r="M36" s="294"/>
    </row>
    <row r="37" spans="1:13" ht="42">
      <c r="A37" s="84"/>
      <c r="B37" s="90" t="s">
        <v>230</v>
      </c>
      <c r="C37" s="82">
        <f>+[23]สรุปรายงาน!$C33</f>
        <v>1851300</v>
      </c>
      <c r="D37" s="82">
        <f>+[23]สรุปรายงาน!$D33</f>
        <v>0</v>
      </c>
      <c r="E37" s="86">
        <f>+[25]ทะเบียนคุมงบลงทุน!V57</f>
        <v>1851300</v>
      </c>
      <c r="F37" s="83">
        <f>+[23]สรุปรายงาน!$F33</f>
        <v>0</v>
      </c>
      <c r="G37" s="83">
        <f>+[23]สรุปรายงาน!$G33</f>
        <v>0</v>
      </c>
      <c r="H37" s="83">
        <f>+[23]สรุปรายงาน!$H33</f>
        <v>0</v>
      </c>
      <c r="I37" s="83">
        <f>+[23]สรุปรายงาน!$I33</f>
        <v>0</v>
      </c>
      <c r="J37" s="83">
        <f t="shared" si="1"/>
        <v>0</v>
      </c>
      <c r="K37" s="86">
        <f t="shared" si="2"/>
        <v>1851300</v>
      </c>
      <c r="L37" s="294"/>
      <c r="M37" s="294"/>
    </row>
    <row r="38" spans="1:13" ht="74.25" customHeight="1">
      <c r="A38" s="84"/>
      <c r="B38" s="90" t="s">
        <v>231</v>
      </c>
      <c r="C38" s="82">
        <f>+[23]สรุปรายงาน!$C34</f>
        <v>83000</v>
      </c>
      <c r="D38" s="82">
        <f>+[23]สรุปรายงาน!$D34</f>
        <v>0</v>
      </c>
      <c r="E38" s="86">
        <f>+[25]ทะเบียนคุมงบลงทุน!V58</f>
        <v>83000</v>
      </c>
      <c r="F38" s="83">
        <f>+[23]สรุปรายงาน!$F34</f>
        <v>0</v>
      </c>
      <c r="G38" s="83">
        <f>+[23]สรุปรายงาน!$G34</f>
        <v>0</v>
      </c>
      <c r="H38" s="83">
        <f>+[23]สรุปรายงาน!$H34</f>
        <v>0</v>
      </c>
      <c r="I38" s="83">
        <f>+[23]สรุปรายงาน!$I34</f>
        <v>0</v>
      </c>
      <c r="J38" s="83">
        <f t="shared" si="1"/>
        <v>0</v>
      </c>
      <c r="K38" s="86">
        <f t="shared" si="2"/>
        <v>83000</v>
      </c>
      <c r="L38" s="294"/>
      <c r="M38" s="294"/>
    </row>
    <row r="39" spans="1:13">
      <c r="A39" s="84"/>
      <c r="B39" s="90" t="s">
        <v>232</v>
      </c>
      <c r="C39" s="82">
        <f>+[23]สรุปรายงาน!$C35</f>
        <v>118500</v>
      </c>
      <c r="D39" s="82">
        <f>+[23]สรุปรายงาน!$D35</f>
        <v>0</v>
      </c>
      <c r="E39" s="86">
        <f>+[25]ทะเบียนคุมงบลงทุน!V59</f>
        <v>118500</v>
      </c>
      <c r="F39" s="86">
        <f>+[23]สรุปรายงาน!$F35</f>
        <v>91500</v>
      </c>
      <c r="G39" s="83">
        <f>+[23]สรุปรายงาน!$G35</f>
        <v>0</v>
      </c>
      <c r="H39" s="83">
        <f>+[23]สรุปรายงาน!$H35</f>
        <v>0</v>
      </c>
      <c r="I39" s="83">
        <f>+[23]สรุปรายงาน!$I35</f>
        <v>0</v>
      </c>
      <c r="J39" s="86">
        <f t="shared" si="1"/>
        <v>91500</v>
      </c>
      <c r="K39" s="86">
        <f t="shared" si="2"/>
        <v>27000</v>
      </c>
      <c r="L39" s="294"/>
      <c r="M39" s="294"/>
    </row>
    <row r="40" spans="1:13">
      <c r="A40" s="84"/>
      <c r="B40" s="90" t="s">
        <v>233</v>
      </c>
      <c r="C40" s="82">
        <f>+[23]สรุปรายงาน!$C36</f>
        <v>23000</v>
      </c>
      <c r="D40" s="82">
        <f>+[23]สรุปรายงาน!$D36</f>
        <v>0</v>
      </c>
      <c r="E40" s="86">
        <f>+[25]ทะเบียนคุมงบลงทุน!V60</f>
        <v>23000</v>
      </c>
      <c r="F40" s="83">
        <f>+[23]สรุปรายงาน!$F36</f>
        <v>0</v>
      </c>
      <c r="G40" s="83">
        <f>+[23]สรุปรายงาน!$G36</f>
        <v>0</v>
      </c>
      <c r="H40" s="83">
        <f>+[23]สรุปรายงาน!$H36</f>
        <v>0</v>
      </c>
      <c r="I40" s="86">
        <f>+[23]สรุปรายงาน!$I36</f>
        <v>20000</v>
      </c>
      <c r="J40" s="86">
        <f t="shared" si="1"/>
        <v>20000</v>
      </c>
      <c r="K40" s="86">
        <f t="shared" si="2"/>
        <v>3000</v>
      </c>
      <c r="L40" s="294"/>
      <c r="M40" s="294"/>
    </row>
    <row r="41" spans="1:13" ht="42">
      <c r="A41" s="84"/>
      <c r="B41" s="90" t="s">
        <v>234</v>
      </c>
      <c r="C41" s="82">
        <f>+[23]สรุปรายงาน!$C37</f>
        <v>23000</v>
      </c>
      <c r="D41" s="82">
        <f>+[23]สรุปรายงาน!$D37</f>
        <v>0</v>
      </c>
      <c r="E41" s="86">
        <f>+[25]ทะเบียนคุมงบลงทุน!V61</f>
        <v>23000</v>
      </c>
      <c r="F41" s="83">
        <f>+[23]สรุปรายงาน!$F37</f>
        <v>0</v>
      </c>
      <c r="G41" s="83">
        <f>+[23]สรุปรายงาน!$G37</f>
        <v>0</v>
      </c>
      <c r="H41" s="83">
        <f>+[23]สรุปรายงาน!$H37</f>
        <v>0</v>
      </c>
      <c r="I41" s="83">
        <f>+[23]สรุปรายงาน!$I37</f>
        <v>23000</v>
      </c>
      <c r="J41" s="83">
        <f t="shared" si="1"/>
        <v>23000</v>
      </c>
      <c r="K41" s="86">
        <f t="shared" si="2"/>
        <v>0</v>
      </c>
      <c r="L41" s="294"/>
      <c r="M41" s="294"/>
    </row>
    <row r="42" spans="1:13" ht="75" customHeight="1">
      <c r="A42" s="84"/>
      <c r="B42" s="90" t="s">
        <v>235</v>
      </c>
      <c r="C42" s="82">
        <f>+[23]สรุปรายงาน!$C38</f>
        <v>134000</v>
      </c>
      <c r="D42" s="82">
        <f>+[23]สรุปรายงาน!$D38</f>
        <v>0</v>
      </c>
      <c r="E42" s="86">
        <f>+[25]ทะเบียนคุมงบลงทุน!V62</f>
        <v>134000</v>
      </c>
      <c r="F42" s="83">
        <f>+[23]สรุปรายงาน!$F38</f>
        <v>0</v>
      </c>
      <c r="G42" s="83">
        <f>+[23]สรุปรายงาน!$G38</f>
        <v>0</v>
      </c>
      <c r="H42" s="83">
        <f>+[23]สรุปรายงาน!$H38</f>
        <v>0</v>
      </c>
      <c r="I42" s="83">
        <f>+[23]สรุปรายงาน!$I38</f>
        <v>0</v>
      </c>
      <c r="J42" s="83">
        <f>SUM(F42:I42)</f>
        <v>0</v>
      </c>
      <c r="K42" s="86">
        <f t="shared" si="2"/>
        <v>134000</v>
      </c>
      <c r="L42" s="294"/>
      <c r="M42" s="294"/>
    </row>
    <row r="43" spans="1:13" ht="71.25" customHeight="1">
      <c r="A43" s="84"/>
      <c r="B43" s="90" t="s">
        <v>236</v>
      </c>
      <c r="C43" s="82">
        <f>+[23]สรุปรายงาน!$C39</f>
        <v>30900</v>
      </c>
      <c r="D43" s="82">
        <f>+[23]สรุปรายงาน!$D39</f>
        <v>0</v>
      </c>
      <c r="E43" s="86">
        <f>+[25]ทะเบียนคุมงบลงทุน!V63</f>
        <v>30900</v>
      </c>
      <c r="F43" s="83">
        <f>+[23]สรุปรายงาน!$F39</f>
        <v>0</v>
      </c>
      <c r="G43" s="83">
        <f>+[23]สรุปรายงาน!$G39</f>
        <v>0</v>
      </c>
      <c r="H43" s="83">
        <f>+[23]สรุปรายงาน!$H39</f>
        <v>0</v>
      </c>
      <c r="I43" s="83">
        <f>+[23]สรุปรายงาน!$I39</f>
        <v>0</v>
      </c>
      <c r="J43" s="83">
        <f t="shared" si="1"/>
        <v>0</v>
      </c>
      <c r="K43" s="86">
        <f t="shared" si="2"/>
        <v>30900</v>
      </c>
      <c r="L43" s="294"/>
      <c r="M43" s="294"/>
    </row>
    <row r="44" spans="1:13" ht="72" customHeight="1">
      <c r="A44" s="84"/>
      <c r="B44" s="90" t="s">
        <v>237</v>
      </c>
      <c r="C44" s="82">
        <f>+[23]สรุปรายงาน!$C40</f>
        <v>40900</v>
      </c>
      <c r="D44" s="82">
        <f>+[23]สรุปรายงาน!$D40</f>
        <v>0</v>
      </c>
      <c r="E44" s="86">
        <f>+[25]ทะเบียนคุมงบลงทุน!V64</f>
        <v>40900</v>
      </c>
      <c r="F44" s="83">
        <f>+[23]สรุปรายงาน!$F40</f>
        <v>0</v>
      </c>
      <c r="G44" s="83">
        <f>+[23]สรุปรายงาน!$G40</f>
        <v>0</v>
      </c>
      <c r="H44" s="83">
        <f>+[23]สรุปรายงาน!$H40</f>
        <v>0</v>
      </c>
      <c r="I44" s="83">
        <f>+[23]สรุปรายงาน!$I40</f>
        <v>0</v>
      </c>
      <c r="J44" s="83">
        <f t="shared" si="1"/>
        <v>0</v>
      </c>
      <c r="K44" s="86">
        <f t="shared" si="2"/>
        <v>40900</v>
      </c>
      <c r="L44" s="294"/>
      <c r="M44" s="294"/>
    </row>
    <row r="45" spans="1:13" ht="42">
      <c r="A45" s="84"/>
      <c r="B45" s="90" t="s">
        <v>238</v>
      </c>
      <c r="C45" s="82">
        <f>+[23]สรุปรายงาน!$C41</f>
        <v>43000</v>
      </c>
      <c r="D45" s="82">
        <f>+[23]สรุปรายงาน!$D41</f>
        <v>0</v>
      </c>
      <c r="E45" s="86">
        <f>+[25]ทะเบียนคุมงบลงทุน!V65</f>
        <v>43000</v>
      </c>
      <c r="F45" s="83">
        <f>+[23]สรุปรายงาน!$F41</f>
        <v>0</v>
      </c>
      <c r="G45" s="83">
        <f>+[23]สรุปรายงาน!$G41</f>
        <v>0</v>
      </c>
      <c r="H45" s="83">
        <f>+[23]สรุปรายงาน!$H41</f>
        <v>0</v>
      </c>
      <c r="I45" s="83">
        <f>+[23]สรุปรายงาน!$I41</f>
        <v>0</v>
      </c>
      <c r="J45" s="83">
        <f t="shared" si="1"/>
        <v>0</v>
      </c>
      <c r="K45" s="86">
        <f t="shared" si="2"/>
        <v>43000</v>
      </c>
      <c r="L45" s="294"/>
      <c r="M45" s="294"/>
    </row>
    <row r="46" spans="1:13" ht="63">
      <c r="A46" s="84"/>
      <c r="B46" s="90" t="s">
        <v>239</v>
      </c>
      <c r="C46" s="82">
        <f>+[23]สรุปรายงาน!$C42</f>
        <v>214400</v>
      </c>
      <c r="D46" s="82">
        <f>+[23]สรุปรายงาน!$D42</f>
        <v>0</v>
      </c>
      <c r="E46" s="86">
        <f>+[25]ทะเบียนคุมงบลงทุน!V66</f>
        <v>214400</v>
      </c>
      <c r="F46" s="83">
        <f>+[23]สรุปรายงาน!$F42</f>
        <v>0</v>
      </c>
      <c r="G46" s="83">
        <f>+[23]สรุปรายงาน!$G42</f>
        <v>0</v>
      </c>
      <c r="H46" s="83">
        <f>+[23]สรุปรายงาน!$H42</f>
        <v>0</v>
      </c>
      <c r="I46" s="83">
        <f>+[23]สรุปรายงาน!$I42</f>
        <v>0</v>
      </c>
      <c r="J46" s="83">
        <f t="shared" si="1"/>
        <v>0</v>
      </c>
      <c r="K46" s="86">
        <f t="shared" si="2"/>
        <v>214400</v>
      </c>
      <c r="L46" s="294"/>
      <c r="M46" s="294"/>
    </row>
    <row r="47" spans="1:13" ht="42">
      <c r="A47" s="84"/>
      <c r="B47" s="90" t="s">
        <v>240</v>
      </c>
      <c r="C47" s="82">
        <f>+[23]สรุปรายงาน!$C43</f>
        <v>99000</v>
      </c>
      <c r="D47" s="82">
        <f>+[23]สรุปรายงาน!$D43</f>
        <v>0</v>
      </c>
      <c r="E47" s="86">
        <f>+[25]ทะเบียนคุมงบลงทุน!V67</f>
        <v>99000</v>
      </c>
      <c r="F47" s="83">
        <f>+[23]สรุปรายงาน!$F43</f>
        <v>0</v>
      </c>
      <c r="G47" s="83">
        <f>+[23]สรุปรายงาน!$G43</f>
        <v>0</v>
      </c>
      <c r="H47" s="83">
        <f>+[23]สรุปรายงาน!$H43</f>
        <v>0</v>
      </c>
      <c r="I47" s="83">
        <f>+[23]สรุปรายงาน!$I43</f>
        <v>0</v>
      </c>
      <c r="J47" s="83">
        <f t="shared" si="1"/>
        <v>0</v>
      </c>
      <c r="K47" s="86">
        <f t="shared" si="2"/>
        <v>99000</v>
      </c>
      <c r="L47" s="294"/>
      <c r="M47" s="294"/>
    </row>
    <row r="48" spans="1:13">
      <c r="A48" s="84"/>
      <c r="B48" s="90" t="s">
        <v>241</v>
      </c>
      <c r="C48" s="82">
        <f>+[23]สรุปรายงาน!$C44</f>
        <v>110600</v>
      </c>
      <c r="D48" s="82">
        <f>+[23]สรุปรายงาน!$D44</f>
        <v>0</v>
      </c>
      <c r="E48" s="86">
        <f>+[25]ทะเบียนคุมงบลงทุน!V68</f>
        <v>110600</v>
      </c>
      <c r="F48" s="83">
        <f>+[23]สรุปรายงาน!$F44</f>
        <v>0</v>
      </c>
      <c r="G48" s="83">
        <f>+[23]สรุปรายงาน!$G44</f>
        <v>0</v>
      </c>
      <c r="H48" s="83">
        <f>+[23]สรุปรายงาน!$H44</f>
        <v>0</v>
      </c>
      <c r="I48" s="83">
        <f>+[23]สรุปรายงาน!$I44</f>
        <v>0</v>
      </c>
      <c r="J48" s="83">
        <f>SUM(F48:I48)</f>
        <v>0</v>
      </c>
      <c r="K48" s="86">
        <f t="shared" si="2"/>
        <v>110600</v>
      </c>
      <c r="L48" s="294"/>
      <c r="M48" s="294"/>
    </row>
    <row r="49" spans="1:13" s="69" customFormat="1">
      <c r="A49" s="80">
        <v>6</v>
      </c>
      <c r="B49" s="81" t="s">
        <v>91</v>
      </c>
      <c r="C49" s="82">
        <f>+[23]สรุปรายงาน!$C45</f>
        <v>1954700</v>
      </c>
      <c r="D49" s="307">
        <f>+[23]สรุปรายงาน!$D45</f>
        <v>-574590</v>
      </c>
      <c r="E49" s="83">
        <f>+C49+D49</f>
        <v>1380110</v>
      </c>
      <c r="F49" s="83">
        <f>SUM(F50:F54)</f>
        <v>246000</v>
      </c>
      <c r="G49" s="83">
        <f>+[23]สรุปรายงาน!$G45</f>
        <v>0</v>
      </c>
      <c r="H49" s="83">
        <f>+[23]สรุปรายงาน!$H45</f>
        <v>0</v>
      </c>
      <c r="I49" s="83">
        <f>+[23]สรุปรายงาน!$I45</f>
        <v>48700</v>
      </c>
      <c r="J49" s="83">
        <f t="shared" si="1"/>
        <v>294700</v>
      </c>
      <c r="K49" s="83">
        <f t="shared" si="2"/>
        <v>1085410</v>
      </c>
      <c r="L49" s="294"/>
      <c r="M49" s="294"/>
    </row>
    <row r="50" spans="1:13">
      <c r="A50" s="88"/>
      <c r="B50" s="85" t="s">
        <v>242</v>
      </c>
      <c r="C50" s="306">
        <f>+[23]สรุปรายงาน!$C46</f>
        <v>1369500</v>
      </c>
      <c r="D50" s="307">
        <f>+[23]สรุปรายงาน!$D46</f>
        <v>-574590</v>
      </c>
      <c r="E50" s="86">
        <f>+C50+D50</f>
        <v>794910</v>
      </c>
      <c r="F50" s="83">
        <f>+[23]สรุปรายงาน!$F46</f>
        <v>0</v>
      </c>
      <c r="G50" s="83">
        <f>+[23]สรุปรายงาน!$G46</f>
        <v>0</v>
      </c>
      <c r="H50" s="83">
        <f>+[23]สรุปรายงาน!$H46</f>
        <v>0</v>
      </c>
      <c r="I50" s="86">
        <f>+[23]สรุปรายงาน!$I46</f>
        <v>0</v>
      </c>
      <c r="J50" s="86">
        <f t="shared" si="1"/>
        <v>0</v>
      </c>
      <c r="K50" s="86">
        <f t="shared" si="2"/>
        <v>794910</v>
      </c>
      <c r="L50" s="294"/>
      <c r="M50" s="294"/>
    </row>
    <row r="51" spans="1:13">
      <c r="A51" s="88"/>
      <c r="B51" s="87" t="s">
        <v>243</v>
      </c>
      <c r="C51" s="306">
        <f>+[23]สรุปรายงาน!$C47</f>
        <v>246000</v>
      </c>
      <c r="D51" s="82">
        <f>+[23]สรุปรายงาน!$D47</f>
        <v>0</v>
      </c>
      <c r="E51" s="86">
        <f>+[25]ทะเบียนคุมงบลงทุน!V72</f>
        <v>246000</v>
      </c>
      <c r="F51" s="86">
        <v>246000</v>
      </c>
      <c r="G51" s="83">
        <f>+[23]สรุปรายงาน!$G47</f>
        <v>0</v>
      </c>
      <c r="H51" s="83">
        <f>+[23]สรุปรายงาน!$H47</f>
        <v>0</v>
      </c>
      <c r="I51" s="86">
        <f>+[23]สรุปรายงาน!$I47</f>
        <v>0</v>
      </c>
      <c r="J51" s="86">
        <f t="shared" si="1"/>
        <v>246000</v>
      </c>
      <c r="K51" s="86">
        <f t="shared" si="2"/>
        <v>0</v>
      </c>
      <c r="L51" s="294"/>
      <c r="M51" s="294"/>
    </row>
    <row r="52" spans="1:13" ht="54" customHeight="1">
      <c r="A52" s="88"/>
      <c r="B52" s="87" t="s">
        <v>244</v>
      </c>
      <c r="C52" s="306">
        <f>+[23]สรุปรายงาน!$C48</f>
        <v>45900</v>
      </c>
      <c r="D52" s="82">
        <f>+[23]สรุปรายงาน!$D48</f>
        <v>0</v>
      </c>
      <c r="E52" s="86">
        <f>+[25]ทะเบียนคุมงบลงทุน!V73</f>
        <v>45900</v>
      </c>
      <c r="F52" s="83">
        <f>+[23]สรุปรายงาน!$F48</f>
        <v>0</v>
      </c>
      <c r="G52" s="83">
        <f>+[23]สรุปรายงาน!$G48</f>
        <v>0</v>
      </c>
      <c r="H52" s="83">
        <f>+[23]สรุปรายงาน!$H48</f>
        <v>0</v>
      </c>
      <c r="I52" s="86">
        <f>+[23]สรุปรายงาน!$I48</f>
        <v>13900</v>
      </c>
      <c r="J52" s="86">
        <f t="shared" si="1"/>
        <v>13900</v>
      </c>
      <c r="K52" s="86">
        <f t="shared" si="2"/>
        <v>32000</v>
      </c>
      <c r="L52" s="294"/>
      <c r="M52" s="294"/>
    </row>
    <row r="53" spans="1:13">
      <c r="A53" s="88"/>
      <c r="B53" s="87" t="s">
        <v>245</v>
      </c>
      <c r="C53" s="306">
        <f>+[23]สรุปรายงาน!$C49</f>
        <v>34800</v>
      </c>
      <c r="D53" s="82">
        <f>+[23]สรุปรายงาน!$D49</f>
        <v>0</v>
      </c>
      <c r="E53" s="86">
        <f>+[25]ทะเบียนคุมงบลงทุน!V74</f>
        <v>34800</v>
      </c>
      <c r="F53" s="83">
        <f>+[23]สรุปรายงาน!$F49</f>
        <v>0</v>
      </c>
      <c r="G53" s="83">
        <f>+[23]สรุปรายงาน!$G49</f>
        <v>0</v>
      </c>
      <c r="H53" s="83">
        <f>+[23]สรุปรายงาน!$H49</f>
        <v>0</v>
      </c>
      <c r="I53" s="86">
        <f>+[23]สรุปรายงาน!$I49</f>
        <v>34800</v>
      </c>
      <c r="J53" s="86">
        <f t="shared" si="1"/>
        <v>34800</v>
      </c>
      <c r="K53" s="86">
        <f t="shared" si="2"/>
        <v>0</v>
      </c>
      <c r="L53" s="294"/>
      <c r="M53" s="294"/>
    </row>
    <row r="54" spans="1:13">
      <c r="A54" s="84"/>
      <c r="B54" s="85" t="s">
        <v>246</v>
      </c>
      <c r="C54" s="306">
        <f>+[23]สรุปรายงาน!$C50</f>
        <v>258500</v>
      </c>
      <c r="D54" s="82">
        <f>+[23]สรุปรายงาน!$D50</f>
        <v>0</v>
      </c>
      <c r="E54" s="86">
        <f>+[25]ทะเบียนคุมงบลงทุน!V75</f>
        <v>258500</v>
      </c>
      <c r="F54" s="83">
        <f>+[23]สรุปรายงาน!$F50</f>
        <v>0</v>
      </c>
      <c r="G54" s="83">
        <f>+[23]สรุปรายงาน!$G50</f>
        <v>0</v>
      </c>
      <c r="H54" s="83">
        <f>+[23]สรุปรายงาน!$H50</f>
        <v>0</v>
      </c>
      <c r="I54" s="86">
        <f>+[23]สรุปรายงาน!$I50</f>
        <v>0</v>
      </c>
      <c r="J54" s="86">
        <f t="shared" si="1"/>
        <v>0</v>
      </c>
      <c r="K54" s="86">
        <f t="shared" si="2"/>
        <v>258500</v>
      </c>
      <c r="L54" s="294"/>
      <c r="M54" s="294"/>
    </row>
    <row r="55" spans="1:13" s="69" customFormat="1">
      <c r="A55" s="80">
        <v>7</v>
      </c>
      <c r="B55" s="81" t="s">
        <v>92</v>
      </c>
      <c r="C55" s="82">
        <f>+[23]สรุปรายงาน!$C51</f>
        <v>59800</v>
      </c>
      <c r="D55" s="82">
        <f>+[23]สรุปรายงาน!$D51</f>
        <v>0</v>
      </c>
      <c r="E55" s="83">
        <f>+[25]ทะเบียนคุมงบลงทุน!V77</f>
        <v>59800</v>
      </c>
      <c r="F55" s="83">
        <f>+[23]สรุปรายงาน!$F51</f>
        <v>0</v>
      </c>
      <c r="G55" s="83">
        <f>+[23]สรุปรายงาน!$G51</f>
        <v>0</v>
      </c>
      <c r="H55" s="83">
        <f>+[23]สรุปรายงาน!$H51</f>
        <v>0</v>
      </c>
      <c r="I55" s="83">
        <f>+[23]สรุปรายงาน!$I51</f>
        <v>58360</v>
      </c>
      <c r="J55" s="83">
        <f t="shared" si="1"/>
        <v>58360</v>
      </c>
      <c r="K55" s="83">
        <f t="shared" si="2"/>
        <v>1440</v>
      </c>
      <c r="L55" s="294"/>
      <c r="M55" s="294"/>
    </row>
    <row r="56" spans="1:13" ht="51.75" customHeight="1">
      <c r="A56" s="84"/>
      <c r="B56" s="85" t="s">
        <v>247</v>
      </c>
      <c r="C56" s="306">
        <f>+[23]สรุปรายงาน!$C52</f>
        <v>59800</v>
      </c>
      <c r="D56" s="82">
        <f>+[23]สรุปรายงาน!$D52</f>
        <v>0</v>
      </c>
      <c r="E56" s="86">
        <f>+[25]ทะเบียนคุมงบลงทุน!V78</f>
        <v>59800</v>
      </c>
      <c r="F56" s="83">
        <f>+[23]สรุปรายงาน!$F52</f>
        <v>0</v>
      </c>
      <c r="G56" s="83">
        <f>+[23]สรุปรายงาน!$G52</f>
        <v>0</v>
      </c>
      <c r="H56" s="83">
        <f>+[23]สรุปรายงาน!$H52</f>
        <v>0</v>
      </c>
      <c r="I56" s="86">
        <f>+[23]สรุปรายงาน!$I52</f>
        <v>58360</v>
      </c>
      <c r="J56" s="86">
        <f t="shared" si="1"/>
        <v>58360</v>
      </c>
      <c r="K56" s="86">
        <f t="shared" si="2"/>
        <v>1440</v>
      </c>
      <c r="L56" s="294"/>
      <c r="M56" s="294"/>
    </row>
    <row r="57" spans="1:13" s="69" customFormat="1">
      <c r="A57" s="80">
        <v>8</v>
      </c>
      <c r="B57" s="81" t="s">
        <v>248</v>
      </c>
      <c r="C57" s="82">
        <f>+[23]สรุปรายงาน!$C53</f>
        <v>8049600</v>
      </c>
      <c r="D57" s="82">
        <f>+[23]สรุปรายงาน!$D53</f>
        <v>0</v>
      </c>
      <c r="E57" s="83">
        <f>+[25]ทะเบียนคุมงบลงทุน!V80</f>
        <v>8049600</v>
      </c>
      <c r="F57" s="83">
        <f>+[23]สรุปรายงาน!$F53</f>
        <v>0</v>
      </c>
      <c r="G57" s="83">
        <f>+[23]สรุปรายงาน!$G53</f>
        <v>0</v>
      </c>
      <c r="H57" s="83">
        <f>+[23]สรุปรายงาน!$H53</f>
        <v>0</v>
      </c>
      <c r="I57" s="83">
        <f>+[23]สรุปรายงาน!$I53</f>
        <v>344930</v>
      </c>
      <c r="J57" s="83">
        <f t="shared" si="1"/>
        <v>344930</v>
      </c>
      <c r="K57" s="83">
        <f t="shared" si="2"/>
        <v>7704670</v>
      </c>
      <c r="L57" s="294"/>
      <c r="M57" s="294"/>
    </row>
    <row r="58" spans="1:13">
      <c r="A58" s="88"/>
      <c r="B58" s="87" t="s">
        <v>249</v>
      </c>
      <c r="C58" s="306">
        <f>+[23]สรุปรายงาน!$C54</f>
        <v>4800</v>
      </c>
      <c r="D58" s="82">
        <f>+[23]สรุปรายงาน!$D54</f>
        <v>0</v>
      </c>
      <c r="E58" s="86">
        <f>+[25]ทะเบียนคุมงบลงทุน!V81</f>
        <v>4800</v>
      </c>
      <c r="F58" s="83">
        <f>+[23]สรุปรายงาน!$F54</f>
        <v>0</v>
      </c>
      <c r="G58" s="83">
        <f>+[23]สรุปรายงาน!$G54</f>
        <v>0</v>
      </c>
      <c r="H58" s="86">
        <f>+[23]สรุปรายงาน!$H54</f>
        <v>0</v>
      </c>
      <c r="I58" s="86">
        <f>+[23]สรุปรายงาน!$I54</f>
        <v>4800</v>
      </c>
      <c r="J58" s="86">
        <f>SUM(F58:I58)</f>
        <v>4800</v>
      </c>
      <c r="K58" s="86">
        <f t="shared" si="2"/>
        <v>0</v>
      </c>
      <c r="L58" s="294"/>
      <c r="M58" s="294"/>
    </row>
    <row r="59" spans="1:13">
      <c r="A59" s="88"/>
      <c r="B59" s="85" t="s">
        <v>250</v>
      </c>
      <c r="C59" s="306">
        <f>+[23]สรุปรายงาน!$C55</f>
        <v>39500</v>
      </c>
      <c r="D59" s="82">
        <f>+[23]สรุปรายงาน!$D55</f>
        <v>0</v>
      </c>
      <c r="E59" s="86">
        <f>+[25]ทะเบียนคุมงบลงทุน!V82</f>
        <v>39500</v>
      </c>
      <c r="F59" s="83">
        <f>+[23]สรุปรายงาน!$F55</f>
        <v>0</v>
      </c>
      <c r="G59" s="83">
        <f>+[23]สรุปรายงาน!$G55</f>
        <v>0</v>
      </c>
      <c r="H59" s="86">
        <f>+[23]สรุปรายงาน!$H55</f>
        <v>0</v>
      </c>
      <c r="I59" s="86">
        <f>+[23]สรุปรายงาน!$I55</f>
        <v>39500</v>
      </c>
      <c r="J59" s="86">
        <f t="shared" si="1"/>
        <v>39500</v>
      </c>
      <c r="K59" s="86">
        <f t="shared" si="2"/>
        <v>0</v>
      </c>
      <c r="L59" s="294"/>
      <c r="M59" s="294"/>
    </row>
    <row r="60" spans="1:13">
      <c r="A60" s="84"/>
      <c r="B60" s="87" t="s">
        <v>251</v>
      </c>
      <c r="C60" s="306">
        <f>+[23]สรุปรายงาน!$C56</f>
        <v>18500</v>
      </c>
      <c r="D60" s="82">
        <f>+[23]สรุปรายงาน!$D56</f>
        <v>0</v>
      </c>
      <c r="E60" s="86">
        <f>+[25]ทะเบียนคุมงบลงทุน!V83</f>
        <v>18500</v>
      </c>
      <c r="F60" s="83">
        <f>+[23]สรุปรายงาน!$F56</f>
        <v>0</v>
      </c>
      <c r="G60" s="83">
        <f>+[23]สรุปรายงาน!$G56</f>
        <v>0</v>
      </c>
      <c r="H60" s="86">
        <f>+[23]สรุปรายงาน!$H56</f>
        <v>0</v>
      </c>
      <c r="I60" s="86">
        <f>+[23]สรุปรายงาน!$I56</f>
        <v>18500</v>
      </c>
      <c r="J60" s="86">
        <f t="shared" si="1"/>
        <v>18500</v>
      </c>
      <c r="K60" s="86">
        <f t="shared" si="2"/>
        <v>0</v>
      </c>
      <c r="L60" s="294"/>
      <c r="M60" s="294"/>
    </row>
    <row r="61" spans="1:13">
      <c r="A61" s="88"/>
      <c r="B61" s="87" t="s">
        <v>252</v>
      </c>
      <c r="C61" s="306">
        <f>+[23]สรุปรายงาน!$C57</f>
        <v>115600</v>
      </c>
      <c r="D61" s="82">
        <f>+[23]สรุปรายงาน!$D57</f>
        <v>0</v>
      </c>
      <c r="E61" s="86">
        <f>+[25]ทะเบียนคุมงบลงทุน!V84</f>
        <v>115600</v>
      </c>
      <c r="F61" s="83">
        <f>+[23]สรุปรายงาน!$F57</f>
        <v>0</v>
      </c>
      <c r="G61" s="83">
        <f>+[23]สรุปรายงาน!$G57</f>
        <v>0</v>
      </c>
      <c r="H61" s="86">
        <f>+[23]สรุปรายงาน!$H57</f>
        <v>0</v>
      </c>
      <c r="I61" s="86">
        <f>+[23]สรุปรายงาน!$I57</f>
        <v>112000</v>
      </c>
      <c r="J61" s="86">
        <f t="shared" si="1"/>
        <v>112000</v>
      </c>
      <c r="K61" s="86">
        <f t="shared" si="2"/>
        <v>3600</v>
      </c>
      <c r="L61" s="294"/>
      <c r="M61" s="294"/>
    </row>
    <row r="62" spans="1:13" ht="33" customHeight="1">
      <c r="A62" s="88"/>
      <c r="B62" s="87" t="s">
        <v>253</v>
      </c>
      <c r="C62" s="306">
        <f>+[23]สรุปรายงาน!$C58</f>
        <v>171200</v>
      </c>
      <c r="D62" s="82">
        <f>+[23]สรุปรายงาน!$D58</f>
        <v>0</v>
      </c>
      <c r="E62" s="86">
        <f>+[25]ทะเบียนคุมงบลงทุน!V85</f>
        <v>171200</v>
      </c>
      <c r="F62" s="83">
        <f>+[23]สรุปรายงาน!$F58</f>
        <v>0</v>
      </c>
      <c r="G62" s="83">
        <f>+[23]สรุปรายงาน!$G58</f>
        <v>0</v>
      </c>
      <c r="H62" s="86">
        <f>+[23]สรุปรายงาน!$H58</f>
        <v>0</v>
      </c>
      <c r="I62" s="86">
        <f>+[23]สรุปรายงาน!$I58</f>
        <v>170130</v>
      </c>
      <c r="J62" s="86">
        <f t="shared" si="1"/>
        <v>170130</v>
      </c>
      <c r="K62" s="86">
        <f t="shared" si="2"/>
        <v>1070</v>
      </c>
      <c r="L62" s="294"/>
      <c r="M62" s="294"/>
    </row>
    <row r="63" spans="1:13" ht="51.75" customHeight="1">
      <c r="A63" s="84"/>
      <c r="B63" s="87" t="s">
        <v>254</v>
      </c>
      <c r="C63" s="306">
        <f>+[23]สรุปรายงาน!$C59</f>
        <v>7700000</v>
      </c>
      <c r="D63" s="82">
        <f>+[23]สรุปรายงาน!$D59</f>
        <v>0</v>
      </c>
      <c r="E63" s="86">
        <f>+[25]ทะเบียนคุมงบลงทุน!V86</f>
        <v>7700000</v>
      </c>
      <c r="F63" s="83">
        <f>+[23]สรุปรายงาน!$F59</f>
        <v>0</v>
      </c>
      <c r="G63" s="83">
        <f>+[23]สรุปรายงาน!$G59</f>
        <v>0</v>
      </c>
      <c r="H63" s="86">
        <f>+[23]สรุปรายงาน!$H59</f>
        <v>0</v>
      </c>
      <c r="I63" s="86">
        <f>+[23]สรุปรายงาน!$I59</f>
        <v>0</v>
      </c>
      <c r="J63" s="86">
        <f t="shared" si="1"/>
        <v>0</v>
      </c>
      <c r="K63" s="86">
        <f t="shared" si="2"/>
        <v>7700000</v>
      </c>
      <c r="L63" s="294"/>
      <c r="M63" s="294"/>
    </row>
    <row r="64" spans="1:13" s="69" customFormat="1">
      <c r="A64" s="80">
        <v>9</v>
      </c>
      <c r="B64" s="81" t="s">
        <v>255</v>
      </c>
      <c r="C64" s="82">
        <f>+[23]สรุปรายงาน!$C60</f>
        <v>100800</v>
      </c>
      <c r="D64" s="82">
        <f>+[23]สรุปรายงาน!$D60</f>
        <v>0</v>
      </c>
      <c r="E64" s="83">
        <f>+[25]ทะเบียนคุมงบลงทุน!V88</f>
        <v>100800</v>
      </c>
      <c r="F64" s="83">
        <f>+[23]สรุปรายงาน!$F60</f>
        <v>0</v>
      </c>
      <c r="G64" s="83">
        <f>+[23]สรุปรายงาน!$G60</f>
        <v>0</v>
      </c>
      <c r="H64" s="83">
        <f>+[23]สรุปรายงาน!$H60</f>
        <v>0</v>
      </c>
      <c r="I64" s="83">
        <f>+[23]สรุปรายงาน!$I60</f>
        <v>72332</v>
      </c>
      <c r="J64" s="83">
        <f>SUM(F64:I64)</f>
        <v>72332</v>
      </c>
      <c r="K64" s="83">
        <f t="shared" si="2"/>
        <v>28468</v>
      </c>
      <c r="L64" s="294"/>
      <c r="M64" s="294"/>
    </row>
    <row r="65" spans="1:13" ht="36" customHeight="1">
      <c r="A65" s="84"/>
      <c r="B65" s="85" t="s">
        <v>256</v>
      </c>
      <c r="C65" s="306">
        <f>+[23]สรุปรายงาน!$C61</f>
        <v>35000</v>
      </c>
      <c r="D65" s="82">
        <f>+[23]สรุปรายงาน!$D61</f>
        <v>0</v>
      </c>
      <c r="E65" s="86">
        <f>+[25]ทะเบียนคุมงบลงทุน!V89</f>
        <v>35000</v>
      </c>
      <c r="F65" s="83">
        <f>+[23]สรุปรายงาน!$F61</f>
        <v>0</v>
      </c>
      <c r="G65" s="83">
        <f>+[23]สรุปรายงาน!$G61</f>
        <v>0</v>
      </c>
      <c r="H65" s="86">
        <f>+[23]สรุปรายงาน!$H61</f>
        <v>0</v>
      </c>
      <c r="I65" s="86">
        <f>+[23]สรุปรายงาน!$I61</f>
        <v>34775</v>
      </c>
      <c r="J65" s="86">
        <f t="shared" si="1"/>
        <v>34775</v>
      </c>
      <c r="K65" s="86">
        <f t="shared" si="2"/>
        <v>225</v>
      </c>
      <c r="L65" s="294"/>
      <c r="M65" s="294"/>
    </row>
    <row r="66" spans="1:13" ht="54.75" customHeight="1">
      <c r="A66" s="84"/>
      <c r="B66" s="85" t="s">
        <v>257</v>
      </c>
      <c r="C66" s="306">
        <f>+[23]สรุปรายงาน!$C62</f>
        <v>45900</v>
      </c>
      <c r="D66" s="82">
        <f>+[23]สรุปรายงาน!$D62</f>
        <v>0</v>
      </c>
      <c r="E66" s="86">
        <f>+[25]ทะเบียนคุมงบลงทุน!V90</f>
        <v>45900</v>
      </c>
      <c r="F66" s="83">
        <f>+[23]สรุปรายงาน!$F62</f>
        <v>0</v>
      </c>
      <c r="G66" s="83">
        <f>+[23]สรุปรายงาน!$G62</f>
        <v>0</v>
      </c>
      <c r="H66" s="86">
        <f>+[23]สรุปรายงาน!$H62</f>
        <v>0</v>
      </c>
      <c r="I66" s="86">
        <f>+[23]สรุปรายงาน!$I62</f>
        <v>17762</v>
      </c>
      <c r="J66" s="86">
        <f>SUM(F66:I66)</f>
        <v>17762</v>
      </c>
      <c r="K66" s="86">
        <f t="shared" si="2"/>
        <v>28138</v>
      </c>
      <c r="L66" s="294"/>
      <c r="M66" s="294"/>
    </row>
    <row r="67" spans="1:13">
      <c r="A67" s="84"/>
      <c r="B67" s="85" t="s">
        <v>258</v>
      </c>
      <c r="C67" s="306">
        <f>+[23]สรุปรายงาน!$C63</f>
        <v>19900</v>
      </c>
      <c r="D67" s="82">
        <f>+[23]สรุปรายงาน!$D63</f>
        <v>0</v>
      </c>
      <c r="E67" s="86">
        <f>+[25]ทะเบียนคุมงบลงทุน!V91</f>
        <v>19900</v>
      </c>
      <c r="F67" s="83">
        <f>+[23]สรุปรายงาน!$F63</f>
        <v>0</v>
      </c>
      <c r="G67" s="83">
        <f>+[23]สรุปรายงาน!$G63</f>
        <v>0</v>
      </c>
      <c r="H67" s="86">
        <f>+[23]สรุปรายงาน!$H63</f>
        <v>0</v>
      </c>
      <c r="I67" s="86">
        <f>+[23]สรุปรายงาน!$I63</f>
        <v>19795</v>
      </c>
      <c r="J67" s="86">
        <f t="shared" si="1"/>
        <v>19795</v>
      </c>
      <c r="K67" s="86">
        <f t="shared" si="2"/>
        <v>105</v>
      </c>
      <c r="L67" s="294"/>
      <c r="M67" s="294"/>
    </row>
    <row r="68" spans="1:13" s="69" customFormat="1">
      <c r="A68" s="80">
        <v>10</v>
      </c>
      <c r="B68" s="81" t="s">
        <v>58</v>
      </c>
      <c r="C68" s="82">
        <f>+[23]สรุปรายงาน!$C64</f>
        <v>9900</v>
      </c>
      <c r="D68" s="82">
        <f>+[23]สรุปรายงาน!$D64</f>
        <v>0</v>
      </c>
      <c r="E68" s="83">
        <f>+[25]ทะเบียนคุมงบลงทุน!V93</f>
        <v>9900</v>
      </c>
      <c r="F68" s="83">
        <f>+[23]สรุปรายงาน!$F64</f>
        <v>0</v>
      </c>
      <c r="G68" s="83">
        <f>+[23]สรุปรายงาน!$G64</f>
        <v>0</v>
      </c>
      <c r="H68" s="83">
        <f>+[23]สรุปรายงาน!$H64</f>
        <v>0</v>
      </c>
      <c r="I68" s="83">
        <f>+[23]สรุปรายงาน!$I64</f>
        <v>9900</v>
      </c>
      <c r="J68" s="83">
        <f t="shared" si="1"/>
        <v>9900</v>
      </c>
      <c r="K68" s="83">
        <f t="shared" si="2"/>
        <v>0</v>
      </c>
      <c r="L68" s="294"/>
      <c r="M68" s="294"/>
    </row>
    <row r="69" spans="1:13" ht="30.75" customHeight="1">
      <c r="A69" s="84"/>
      <c r="B69" s="91" t="s">
        <v>259</v>
      </c>
      <c r="C69" s="306">
        <f>+[23]สรุปรายงาน!$C65</f>
        <v>9900</v>
      </c>
      <c r="D69" s="82">
        <f>+[23]สรุปรายงาน!$D65</f>
        <v>0</v>
      </c>
      <c r="E69" s="86">
        <f>+[25]ทะเบียนคุมงบลงทุน!V94</f>
        <v>9900</v>
      </c>
      <c r="F69" s="83">
        <f>+[23]สรุปรายงาน!$F65</f>
        <v>0</v>
      </c>
      <c r="G69" s="83">
        <f>+[23]สรุปรายงาน!$G65</f>
        <v>0</v>
      </c>
      <c r="H69" s="86">
        <f>+[23]สรุปรายงาน!$H65</f>
        <v>0</v>
      </c>
      <c r="I69" s="86">
        <f>+[23]สรุปรายงาน!$I65</f>
        <v>9900</v>
      </c>
      <c r="J69" s="86">
        <f t="shared" si="1"/>
        <v>9900</v>
      </c>
      <c r="K69" s="83">
        <f t="shared" si="2"/>
        <v>0</v>
      </c>
      <c r="L69" s="294"/>
      <c r="M69" s="294"/>
    </row>
    <row r="70" spans="1:13" s="79" customFormat="1">
      <c r="A70" s="1084" t="s">
        <v>260</v>
      </c>
      <c r="B70" s="1085"/>
      <c r="C70" s="92">
        <f>+C71+C73+C88+C90</f>
        <v>144582600</v>
      </c>
      <c r="D70" s="92">
        <f t="shared" ref="D70:J70" si="3">+D71+D73+D88+D90</f>
        <v>574590</v>
      </c>
      <c r="E70" s="92">
        <f t="shared" si="3"/>
        <v>145157190</v>
      </c>
      <c r="F70" s="92">
        <f t="shared" si="3"/>
        <v>0</v>
      </c>
      <c r="G70" s="92">
        <f t="shared" si="3"/>
        <v>0</v>
      </c>
      <c r="H70" s="92">
        <f t="shared" si="3"/>
        <v>0</v>
      </c>
      <c r="I70" s="92">
        <f t="shared" si="3"/>
        <v>0</v>
      </c>
      <c r="J70" s="92">
        <f t="shared" si="3"/>
        <v>0</v>
      </c>
      <c r="K70" s="296">
        <f t="shared" si="2"/>
        <v>145157190</v>
      </c>
      <c r="L70" s="294"/>
      <c r="M70" s="294"/>
    </row>
    <row r="71" spans="1:13" s="69" customFormat="1">
      <c r="A71" s="80">
        <v>11</v>
      </c>
      <c r="B71" s="81" t="s">
        <v>84</v>
      </c>
      <c r="C71" s="82">
        <f>+[23]สรุปรายงาน!$C67</f>
        <v>2910000</v>
      </c>
      <c r="D71" s="82">
        <f>+[23]สรุปรายงาน!$D67</f>
        <v>0</v>
      </c>
      <c r="E71" s="83">
        <f>+[25]ทะเบียนคุมงบลงทุน!V11</f>
        <v>2910000</v>
      </c>
      <c r="F71" s="83">
        <f>+[23]สรุปรายงาน!$F67</f>
        <v>0</v>
      </c>
      <c r="G71" s="83">
        <f>+[23]สรุปรายงาน!$G67</f>
        <v>0</v>
      </c>
      <c r="H71" s="83">
        <f>+[23]สรุปรายงาน!$H67</f>
        <v>0</v>
      </c>
      <c r="I71" s="83">
        <f>+[23]สรุปรายงาน!$I67</f>
        <v>0</v>
      </c>
      <c r="J71" s="83">
        <f>SUM(F71:I71)</f>
        <v>0</v>
      </c>
      <c r="K71" s="83">
        <f t="shared" si="2"/>
        <v>2910000</v>
      </c>
      <c r="L71" s="294"/>
      <c r="M71" s="294"/>
    </row>
    <row r="72" spans="1:13" ht="42">
      <c r="A72" s="84"/>
      <c r="B72" s="85" t="s">
        <v>261</v>
      </c>
      <c r="C72" s="82">
        <f>+[23]สรุปรายงาน!$C68</f>
        <v>2910000</v>
      </c>
      <c r="D72" s="82">
        <f>+[23]สรุปรายงาน!$D68</f>
        <v>0</v>
      </c>
      <c r="E72" s="86">
        <f>+[25]ทะเบียนคุมงบลงทุน!V12</f>
        <v>2910000</v>
      </c>
      <c r="F72" s="83">
        <f>+[23]สรุปรายงาน!$F68</f>
        <v>0</v>
      </c>
      <c r="G72" s="83">
        <f>+[23]สรุปรายงาน!$G68</f>
        <v>0</v>
      </c>
      <c r="H72" s="83">
        <f>+[23]สรุปรายงาน!$H68</f>
        <v>0</v>
      </c>
      <c r="I72" s="83">
        <f>+[23]สรุปรายงาน!$I68</f>
        <v>0</v>
      </c>
      <c r="J72" s="83">
        <f t="shared" ref="J72:J88" si="4">SUM(F72:I72)</f>
        <v>0</v>
      </c>
      <c r="K72" s="86">
        <f t="shared" si="2"/>
        <v>2910000</v>
      </c>
      <c r="L72" s="294"/>
      <c r="M72" s="294"/>
    </row>
    <row r="73" spans="1:13" s="69" customFormat="1">
      <c r="A73" s="80">
        <v>12</v>
      </c>
      <c r="B73" s="81" t="s">
        <v>79</v>
      </c>
      <c r="C73" s="82">
        <f>+[23]สรุปรายงาน!$C69</f>
        <v>128307500</v>
      </c>
      <c r="D73" s="82">
        <f>+[23]สรุปรายงาน!$D69</f>
        <v>0</v>
      </c>
      <c r="E73" s="83">
        <f>+[25]ทะเบียนคุมงบลงทุน!V25</f>
        <v>128307500</v>
      </c>
      <c r="F73" s="83">
        <f>+[23]สรุปรายงาน!$F69</f>
        <v>0</v>
      </c>
      <c r="G73" s="83">
        <f>+[23]สรุปรายงาน!$G69</f>
        <v>0</v>
      </c>
      <c r="H73" s="83">
        <f>+[23]สรุปรายงาน!$H69</f>
        <v>0</v>
      </c>
      <c r="I73" s="83">
        <f>+[23]สรุปรายงาน!$I69</f>
        <v>0</v>
      </c>
      <c r="J73" s="83">
        <f t="shared" si="4"/>
        <v>0</v>
      </c>
      <c r="K73" s="83">
        <f t="shared" si="2"/>
        <v>128307500</v>
      </c>
      <c r="L73" s="294"/>
      <c r="M73" s="294"/>
    </row>
    <row r="74" spans="1:13" ht="42">
      <c r="A74" s="88"/>
      <c r="B74" s="85" t="s">
        <v>262</v>
      </c>
      <c r="C74" s="82">
        <f>+[23]สรุปรายงาน!$C70</f>
        <v>1650000</v>
      </c>
      <c r="D74" s="82">
        <f>+[23]สรุปรายงาน!$D70</f>
        <v>0</v>
      </c>
      <c r="E74" s="86">
        <f>+[25]ทะเบียนคุมงบลงทุน!V26</f>
        <v>1650000</v>
      </c>
      <c r="F74" s="83">
        <f>+[23]สรุปรายงาน!$F70</f>
        <v>0</v>
      </c>
      <c r="G74" s="83">
        <f>+[23]สรุปรายงาน!$G70</f>
        <v>0</v>
      </c>
      <c r="H74" s="83">
        <f>+[23]สรุปรายงาน!$H70</f>
        <v>0</v>
      </c>
      <c r="I74" s="83">
        <f>+[23]สรุปรายงาน!$I70</f>
        <v>0</v>
      </c>
      <c r="J74" s="83">
        <f t="shared" si="4"/>
        <v>0</v>
      </c>
      <c r="K74" s="86">
        <f t="shared" si="2"/>
        <v>1650000</v>
      </c>
      <c r="L74" s="294"/>
      <c r="M74" s="294"/>
    </row>
    <row r="75" spans="1:13" ht="84">
      <c r="A75" s="88"/>
      <c r="B75" s="85" t="s">
        <v>263</v>
      </c>
      <c r="C75" s="82">
        <f>+[23]สรุปรายงาน!$C71</f>
        <v>665000</v>
      </c>
      <c r="D75" s="82">
        <f>+[23]สรุปรายงาน!$D71</f>
        <v>0</v>
      </c>
      <c r="E75" s="86">
        <f>+[25]ทะเบียนคุมงบลงทุน!V27</f>
        <v>665000</v>
      </c>
      <c r="F75" s="83">
        <f>+[23]สรุปรายงาน!$F71</f>
        <v>0</v>
      </c>
      <c r="G75" s="83">
        <f>+[23]สรุปรายงาน!$G71</f>
        <v>0</v>
      </c>
      <c r="H75" s="83">
        <f>+[23]สรุปรายงาน!$H71</f>
        <v>0</v>
      </c>
      <c r="I75" s="83">
        <f>+[23]สรุปรายงาน!$I71</f>
        <v>0</v>
      </c>
      <c r="J75" s="83">
        <f t="shared" si="4"/>
        <v>0</v>
      </c>
      <c r="K75" s="86">
        <f t="shared" si="2"/>
        <v>665000</v>
      </c>
      <c r="L75" s="294"/>
      <c r="M75" s="294"/>
    </row>
    <row r="76" spans="1:13" ht="42">
      <c r="A76" s="88"/>
      <c r="B76" s="85" t="s">
        <v>264</v>
      </c>
      <c r="C76" s="82">
        <f>+[23]สรุปรายงาน!$C72</f>
        <v>2100000</v>
      </c>
      <c r="D76" s="82">
        <f>+[23]สรุปรายงาน!$D72</f>
        <v>0</v>
      </c>
      <c r="E76" s="86">
        <f>+[25]ทะเบียนคุมงบลงทุน!V28</f>
        <v>2100000</v>
      </c>
      <c r="F76" s="83">
        <f>+[23]สรุปรายงาน!$F72</f>
        <v>0</v>
      </c>
      <c r="G76" s="83">
        <f>+[23]สรุปรายงาน!$G72</f>
        <v>0</v>
      </c>
      <c r="H76" s="83">
        <f>+[23]สรุปรายงาน!$H72</f>
        <v>0</v>
      </c>
      <c r="I76" s="83">
        <f>+[23]สรุปรายงาน!$I72</f>
        <v>0</v>
      </c>
      <c r="J76" s="83">
        <f t="shared" si="4"/>
        <v>0</v>
      </c>
      <c r="K76" s="86">
        <f t="shared" ref="K76:K120" si="5">+E76-J76</f>
        <v>2100000</v>
      </c>
      <c r="L76" s="294"/>
      <c r="M76" s="294"/>
    </row>
    <row r="77" spans="1:13" ht="63">
      <c r="A77" s="88"/>
      <c r="B77" s="85" t="s">
        <v>265</v>
      </c>
      <c r="C77" s="82">
        <f>+[23]สรุปรายงาน!$C73</f>
        <v>2200000</v>
      </c>
      <c r="D77" s="82">
        <f>+[23]สรุปรายงาน!$D73</f>
        <v>0</v>
      </c>
      <c r="E77" s="86">
        <f>+[25]ทะเบียนคุมงบลงทุน!V29</f>
        <v>2200000</v>
      </c>
      <c r="F77" s="83">
        <f>+[23]สรุปรายงาน!$F73</f>
        <v>0</v>
      </c>
      <c r="G77" s="83">
        <f>+[23]สรุปรายงาน!$G73</f>
        <v>0</v>
      </c>
      <c r="H77" s="83">
        <f>+[23]สรุปรายงาน!$H73</f>
        <v>0</v>
      </c>
      <c r="I77" s="83">
        <f>+[23]สรุปรายงาน!$I73</f>
        <v>0</v>
      </c>
      <c r="J77" s="83">
        <f>SUM(F77:I77)</f>
        <v>0</v>
      </c>
      <c r="K77" s="86">
        <f t="shared" si="5"/>
        <v>2200000</v>
      </c>
      <c r="L77" s="294"/>
      <c r="M77" s="294"/>
    </row>
    <row r="78" spans="1:13">
      <c r="A78" s="88"/>
      <c r="B78" s="85" t="s">
        <v>266</v>
      </c>
      <c r="C78" s="82">
        <f>+[23]สรุปรายงาน!$C74</f>
        <v>250000</v>
      </c>
      <c r="D78" s="82">
        <f>+[23]สรุปรายงาน!$D74</f>
        <v>0</v>
      </c>
      <c r="E78" s="86">
        <f>+[25]ทะเบียนคุมงบลงทุน!V30</f>
        <v>250000</v>
      </c>
      <c r="F78" s="83">
        <f>+[23]สรุปรายงาน!$F74</f>
        <v>0</v>
      </c>
      <c r="G78" s="83">
        <f>+[23]สรุปรายงาน!$G74</f>
        <v>0</v>
      </c>
      <c r="H78" s="83">
        <f>+[23]สรุปรายงาน!$H74</f>
        <v>0</v>
      </c>
      <c r="I78" s="83">
        <f>+[23]สรุปรายงาน!$I74</f>
        <v>0</v>
      </c>
      <c r="J78" s="83">
        <f t="shared" si="4"/>
        <v>0</v>
      </c>
      <c r="K78" s="86">
        <f t="shared" si="5"/>
        <v>250000</v>
      </c>
      <c r="L78" s="294"/>
      <c r="M78" s="294"/>
    </row>
    <row r="79" spans="1:13" ht="42">
      <c r="A79" s="88"/>
      <c r="B79" s="85" t="s">
        <v>267</v>
      </c>
      <c r="C79" s="82">
        <f>+[23]สรุปรายงาน!$C75</f>
        <v>32000</v>
      </c>
      <c r="D79" s="82">
        <f>+[23]สรุปรายงาน!$D75</f>
        <v>0</v>
      </c>
      <c r="E79" s="86">
        <f>+[25]ทะเบียนคุมงบลงทุน!V31</f>
        <v>32000</v>
      </c>
      <c r="F79" s="83">
        <f>+[23]สรุปรายงาน!$F75</f>
        <v>0</v>
      </c>
      <c r="G79" s="83">
        <f>+[23]สรุปรายงาน!$G75</f>
        <v>0</v>
      </c>
      <c r="H79" s="83">
        <f>+[23]สรุปรายงาน!$H75</f>
        <v>0</v>
      </c>
      <c r="I79" s="83">
        <f>+[23]สรุปรายงาน!$I75</f>
        <v>0</v>
      </c>
      <c r="J79" s="83">
        <f t="shared" si="4"/>
        <v>0</v>
      </c>
      <c r="K79" s="86">
        <f t="shared" si="5"/>
        <v>32000</v>
      </c>
      <c r="L79" s="294"/>
      <c r="M79" s="294"/>
    </row>
    <row r="80" spans="1:13">
      <c r="A80" s="88"/>
      <c r="B80" s="85" t="s">
        <v>268</v>
      </c>
      <c r="C80" s="82">
        <f>+[23]สรุปรายงาน!$C76</f>
        <v>50000</v>
      </c>
      <c r="D80" s="82">
        <f>+[23]สรุปรายงาน!$D76</f>
        <v>0</v>
      </c>
      <c r="E80" s="86">
        <f>+[25]ทะเบียนคุมงบลงทุน!V32</f>
        <v>50000</v>
      </c>
      <c r="F80" s="83">
        <f>+[23]สรุปรายงาน!$F76</f>
        <v>0</v>
      </c>
      <c r="G80" s="83">
        <f>+[23]สรุปรายงาน!$G76</f>
        <v>0</v>
      </c>
      <c r="H80" s="83">
        <f>+[23]สรุปรายงาน!$H76</f>
        <v>0</v>
      </c>
      <c r="I80" s="83">
        <f>+[23]สรุปรายงาน!$I76</f>
        <v>0</v>
      </c>
      <c r="J80" s="83">
        <f t="shared" si="4"/>
        <v>0</v>
      </c>
      <c r="K80" s="86">
        <f t="shared" si="5"/>
        <v>50000</v>
      </c>
      <c r="L80" s="294"/>
      <c r="M80" s="294"/>
    </row>
    <row r="81" spans="1:13">
      <c r="A81" s="88"/>
      <c r="B81" s="85" t="s">
        <v>269</v>
      </c>
      <c r="C81" s="82">
        <f>+[23]สรุปรายงาน!$C77</f>
        <v>153700</v>
      </c>
      <c r="D81" s="82">
        <f>+[23]สรุปรายงาน!$D77</f>
        <v>0</v>
      </c>
      <c r="E81" s="86">
        <f>+[25]ทะเบียนคุมงบลงทุน!V33</f>
        <v>153700</v>
      </c>
      <c r="F81" s="83">
        <f>+[23]สรุปรายงาน!$F77</f>
        <v>0</v>
      </c>
      <c r="G81" s="83">
        <f>+[23]สรุปรายงาน!$G77</f>
        <v>0</v>
      </c>
      <c r="H81" s="83">
        <f>+[23]สรุปรายงาน!$H77</f>
        <v>0</v>
      </c>
      <c r="I81" s="83">
        <f>+[23]สรุปรายงาน!$I77</f>
        <v>0</v>
      </c>
      <c r="J81" s="83">
        <f t="shared" si="4"/>
        <v>0</v>
      </c>
      <c r="K81" s="86">
        <f t="shared" si="5"/>
        <v>153700</v>
      </c>
      <c r="L81" s="294"/>
      <c r="M81" s="294"/>
    </row>
    <row r="82" spans="1:13">
      <c r="A82" s="88"/>
      <c r="B82" s="85" t="s">
        <v>270</v>
      </c>
      <c r="C82" s="82">
        <f>+[23]สรุปรายงาน!$C78</f>
        <v>80000</v>
      </c>
      <c r="D82" s="82">
        <f>+[23]สรุปรายงาน!$D78</f>
        <v>0</v>
      </c>
      <c r="E82" s="86">
        <f>+[25]ทะเบียนคุมงบลงทุน!V34</f>
        <v>80000</v>
      </c>
      <c r="F82" s="83">
        <f>+[23]สรุปรายงาน!$F78</f>
        <v>0</v>
      </c>
      <c r="G82" s="83">
        <f>+[23]สรุปรายงาน!$G78</f>
        <v>0</v>
      </c>
      <c r="H82" s="83">
        <f>+[23]สรุปรายงาน!$H78</f>
        <v>0</v>
      </c>
      <c r="I82" s="83">
        <f>+[23]สรุปรายงาน!$I78</f>
        <v>0</v>
      </c>
      <c r="J82" s="83">
        <f t="shared" si="4"/>
        <v>0</v>
      </c>
      <c r="K82" s="86">
        <f t="shared" si="5"/>
        <v>80000</v>
      </c>
      <c r="L82" s="294"/>
      <c r="M82" s="294"/>
    </row>
    <row r="83" spans="1:13" ht="42">
      <c r="A83" s="88"/>
      <c r="B83" s="85" t="s">
        <v>271</v>
      </c>
      <c r="C83" s="82">
        <f>+[23]สรุปรายงาน!$C79</f>
        <v>20000000</v>
      </c>
      <c r="D83" s="82">
        <f>+[23]สรุปรายงาน!$D79</f>
        <v>0</v>
      </c>
      <c r="E83" s="86">
        <f>+[25]ทะเบียนคุมงบลงทุน!V35</f>
        <v>20000000</v>
      </c>
      <c r="F83" s="83">
        <f>+[23]สรุปรายงาน!$F79</f>
        <v>0</v>
      </c>
      <c r="G83" s="83">
        <f>+[23]สรุปรายงาน!$G79</f>
        <v>0</v>
      </c>
      <c r="H83" s="83">
        <f>+[23]สรุปรายงาน!$H79</f>
        <v>0</v>
      </c>
      <c r="I83" s="83">
        <f>+[23]สรุปรายงาน!$I79</f>
        <v>0</v>
      </c>
      <c r="J83" s="83">
        <f>SUM(F83:I83)</f>
        <v>0</v>
      </c>
      <c r="K83" s="86">
        <f t="shared" si="5"/>
        <v>20000000</v>
      </c>
      <c r="L83" s="294"/>
      <c r="M83" s="294"/>
    </row>
    <row r="84" spans="1:13">
      <c r="A84" s="88"/>
      <c r="B84" s="85" t="s">
        <v>272</v>
      </c>
      <c r="C84" s="82">
        <f>+[23]สรุปรายงาน!$C80</f>
        <v>8670000</v>
      </c>
      <c r="D84" s="82">
        <f>+[23]สรุปรายงาน!$D80</f>
        <v>0</v>
      </c>
      <c r="E84" s="86">
        <f>+[25]ทะเบียนคุมงบลงทุน!V36</f>
        <v>8670000</v>
      </c>
      <c r="F84" s="83">
        <f>+[23]สรุปรายงาน!$F80</f>
        <v>0</v>
      </c>
      <c r="G84" s="83">
        <f>+[23]สรุปรายงาน!$G80</f>
        <v>0</v>
      </c>
      <c r="H84" s="83">
        <f>+[23]สรุปรายงาน!$H80</f>
        <v>0</v>
      </c>
      <c r="I84" s="83">
        <f>+[23]สรุปรายงาน!$I80</f>
        <v>0</v>
      </c>
      <c r="J84" s="83">
        <f t="shared" si="4"/>
        <v>0</v>
      </c>
      <c r="K84" s="86">
        <f t="shared" si="5"/>
        <v>8670000</v>
      </c>
      <c r="L84" s="294"/>
      <c r="M84" s="294"/>
    </row>
    <row r="85" spans="1:13" ht="63">
      <c r="A85" s="88"/>
      <c r="B85" s="85" t="s">
        <v>273</v>
      </c>
      <c r="C85" s="82">
        <f>+[23]สรุปรายงาน!$C81</f>
        <v>7033800</v>
      </c>
      <c r="D85" s="82">
        <f>+[23]สรุปรายงาน!$D81</f>
        <v>0</v>
      </c>
      <c r="E85" s="86">
        <f>+[25]ทะเบียนคุมงบลงทุน!V37</f>
        <v>7033800</v>
      </c>
      <c r="F85" s="83">
        <f>+[23]สรุปรายงาน!$F81</f>
        <v>0</v>
      </c>
      <c r="G85" s="83">
        <f>+[23]สรุปรายงาน!$G81</f>
        <v>0</v>
      </c>
      <c r="H85" s="83">
        <f>+[23]สรุปรายงาน!$H81</f>
        <v>0</v>
      </c>
      <c r="I85" s="83">
        <f>+[23]สรุปรายงาน!$I81</f>
        <v>0</v>
      </c>
      <c r="J85" s="83">
        <f t="shared" si="4"/>
        <v>0</v>
      </c>
      <c r="K85" s="86">
        <f t="shared" si="5"/>
        <v>7033800</v>
      </c>
      <c r="L85" s="294"/>
      <c r="M85" s="294"/>
    </row>
    <row r="86" spans="1:13" ht="42">
      <c r="A86" s="88"/>
      <c r="B86" s="85" t="s">
        <v>274</v>
      </c>
      <c r="C86" s="82">
        <f>+[23]สรุปรายงาน!$C82</f>
        <v>31183000</v>
      </c>
      <c r="D86" s="82">
        <f>+[23]สรุปรายงาน!$D82</f>
        <v>0</v>
      </c>
      <c r="E86" s="86">
        <f>+[25]ทะเบียนคุมงบลงทุน!V38</f>
        <v>31183000</v>
      </c>
      <c r="F86" s="83">
        <f>+[23]สรุปรายงาน!$F82</f>
        <v>0</v>
      </c>
      <c r="G86" s="83">
        <f>+[23]สรุปรายงาน!$G82</f>
        <v>0</v>
      </c>
      <c r="H86" s="83">
        <f>+[23]สรุปรายงาน!$H82</f>
        <v>0</v>
      </c>
      <c r="I86" s="83">
        <f>+[23]สรุปรายงาน!$I82</f>
        <v>0</v>
      </c>
      <c r="J86" s="83">
        <f t="shared" si="4"/>
        <v>0</v>
      </c>
      <c r="K86" s="86">
        <f t="shared" si="5"/>
        <v>31183000</v>
      </c>
      <c r="L86" s="294"/>
      <c r="M86" s="294"/>
    </row>
    <row r="87" spans="1:13" ht="42">
      <c r="A87" s="88"/>
      <c r="B87" s="85" t="s">
        <v>275</v>
      </c>
      <c r="C87" s="82">
        <f>+[23]สรุปรายงาน!$C83</f>
        <v>54240000</v>
      </c>
      <c r="D87" s="82">
        <f>+[23]สรุปรายงาน!$D83</f>
        <v>0</v>
      </c>
      <c r="E87" s="86">
        <f>+[25]ทะเบียนคุมงบลงทุน!V39</f>
        <v>54240000</v>
      </c>
      <c r="F87" s="83">
        <f>+[23]สรุปรายงาน!$F83</f>
        <v>0</v>
      </c>
      <c r="G87" s="83">
        <f>+[23]สรุปรายงาน!$G83</f>
        <v>0</v>
      </c>
      <c r="H87" s="83">
        <f>+[23]สรุปรายงาน!$H83</f>
        <v>0</v>
      </c>
      <c r="I87" s="83">
        <f>+[23]สรุปรายงาน!$I83</f>
        <v>0</v>
      </c>
      <c r="J87" s="83">
        <f t="shared" si="4"/>
        <v>0</v>
      </c>
      <c r="K87" s="86">
        <f t="shared" si="5"/>
        <v>54240000</v>
      </c>
      <c r="L87" s="294"/>
      <c r="M87" s="294"/>
    </row>
    <row r="88" spans="1:13" s="69" customFormat="1">
      <c r="A88" s="80">
        <v>13</v>
      </c>
      <c r="B88" s="81" t="s">
        <v>89</v>
      </c>
      <c r="C88" s="82">
        <f>+[23]สรุปรายงาน!$C84</f>
        <v>9430000</v>
      </c>
      <c r="D88" s="82">
        <f>+[23]สรุปรายงาน!$D84</f>
        <v>0</v>
      </c>
      <c r="E88" s="83">
        <f>+[25]ทะเบียนคุมงบลงทุน!V96</f>
        <v>9430000</v>
      </c>
      <c r="F88" s="83">
        <f>+[23]สรุปรายงาน!$F84</f>
        <v>0</v>
      </c>
      <c r="G88" s="83">
        <f>+[23]สรุปรายงาน!$G84</f>
        <v>0</v>
      </c>
      <c r="H88" s="83">
        <f>+[23]สรุปรายงาน!$H84</f>
        <v>0</v>
      </c>
      <c r="I88" s="83">
        <f>+[23]สรุปรายงาน!$I84</f>
        <v>0</v>
      </c>
      <c r="J88" s="83">
        <f t="shared" si="4"/>
        <v>0</v>
      </c>
      <c r="K88" s="83">
        <f t="shared" si="5"/>
        <v>9430000</v>
      </c>
      <c r="L88" s="294"/>
      <c r="M88" s="294"/>
    </row>
    <row r="89" spans="1:13" ht="42">
      <c r="A89" s="84"/>
      <c r="B89" s="91" t="s">
        <v>276</v>
      </c>
      <c r="C89" s="82">
        <f>+[23]สรุปรายงาน!$C85</f>
        <v>9430000</v>
      </c>
      <c r="D89" s="82">
        <f>+[23]สรุปรายงาน!$D85</f>
        <v>0</v>
      </c>
      <c r="E89" s="86">
        <f>+[25]ทะเบียนคุมงบลงทุน!V97</f>
        <v>9430000</v>
      </c>
      <c r="F89" s="83">
        <f>+[23]สรุปรายงาน!$F85</f>
        <v>0</v>
      </c>
      <c r="G89" s="83">
        <f>+[23]สรุปรายงาน!$G85</f>
        <v>0</v>
      </c>
      <c r="H89" s="83">
        <f>+[23]สรุปรายงาน!$H85</f>
        <v>0</v>
      </c>
      <c r="I89" s="83">
        <f>+[23]สรุปรายงาน!$I85</f>
        <v>0</v>
      </c>
      <c r="J89" s="83">
        <f>SUM(F89:I89)</f>
        <v>0</v>
      </c>
      <c r="K89" s="86">
        <f t="shared" si="5"/>
        <v>9430000</v>
      </c>
      <c r="L89" s="294"/>
      <c r="M89" s="294"/>
    </row>
    <row r="90" spans="1:13" s="69" customFormat="1">
      <c r="A90" s="93">
        <v>14</v>
      </c>
      <c r="B90" s="81" t="s">
        <v>277</v>
      </c>
      <c r="C90" s="82">
        <f>+[23]สรุปรายงาน!$C86</f>
        <v>3935100</v>
      </c>
      <c r="D90" s="82">
        <f>+[23]สรุปรายงาน!$D86</f>
        <v>574590</v>
      </c>
      <c r="E90" s="83">
        <f>+C90+D90</f>
        <v>4509690</v>
      </c>
      <c r="F90" s="83">
        <f>+[23]สรุปรายงาน!$F86</f>
        <v>0</v>
      </c>
      <c r="G90" s="83">
        <f>+[23]สรุปรายงาน!$G86</f>
        <v>0</v>
      </c>
      <c r="H90" s="83">
        <f>+[23]สรุปรายงาน!$H86</f>
        <v>0</v>
      </c>
      <c r="I90" s="83">
        <f>+[23]สรุปรายงาน!$I86</f>
        <v>0</v>
      </c>
      <c r="J90" s="83">
        <f>SUM(F90:I90)</f>
        <v>0</v>
      </c>
      <c r="K90" s="83">
        <f t="shared" si="5"/>
        <v>4509690</v>
      </c>
      <c r="L90" s="294"/>
      <c r="M90" s="294"/>
    </row>
    <row r="91" spans="1:13" ht="42">
      <c r="A91" s="84"/>
      <c r="B91" s="85" t="s">
        <v>278</v>
      </c>
      <c r="C91" s="82">
        <f>+[23]สรุปรายงาน!$C87</f>
        <v>3935100</v>
      </c>
      <c r="D91" s="306">
        <f>+[23]สรุปรายงาน!$D87</f>
        <v>0</v>
      </c>
      <c r="E91" s="86">
        <f>+[25]ทะเบียนคุมงบลงทุน!V100</f>
        <v>3935100</v>
      </c>
      <c r="F91" s="83">
        <f>+[23]สรุปรายงาน!$F87</f>
        <v>0</v>
      </c>
      <c r="G91" s="83">
        <f>+[23]สรุปรายงาน!$G87</f>
        <v>0</v>
      </c>
      <c r="H91" s="83">
        <f>+[23]สรุปรายงาน!$H87</f>
        <v>0</v>
      </c>
      <c r="I91" s="83">
        <f>+[23]สรุปรายงาน!$I87</f>
        <v>0</v>
      </c>
      <c r="J91" s="83">
        <f t="shared" ref="J91" si="6">SUM(F91:I91)</f>
        <v>0</v>
      </c>
      <c r="K91" s="86">
        <f t="shared" si="5"/>
        <v>3935100</v>
      </c>
      <c r="L91" s="294"/>
      <c r="M91" s="294"/>
    </row>
    <row r="92" spans="1:13" ht="29.25" customHeight="1">
      <c r="A92" s="304"/>
      <c r="B92" s="85" t="s">
        <v>447</v>
      </c>
      <c r="C92" s="82"/>
      <c r="D92" s="306">
        <f>+[23]สรุปรายงาน!$D88</f>
        <v>497550</v>
      </c>
      <c r="E92" s="306">
        <f>+[23]สรุปรายงาน!$E$88</f>
        <v>497550</v>
      </c>
      <c r="F92" s="82">
        <f>+[23]สรุปรายงาน!$F$88</f>
        <v>0</v>
      </c>
      <c r="G92" s="82">
        <v>0</v>
      </c>
      <c r="H92" s="82">
        <v>0</v>
      </c>
      <c r="I92" s="82">
        <v>0</v>
      </c>
      <c r="J92" s="82">
        <v>0</v>
      </c>
      <c r="K92" s="82">
        <f>+[23]สรุปรายงาน!$D88</f>
        <v>497550</v>
      </c>
      <c r="L92" s="294"/>
      <c r="M92" s="294"/>
    </row>
    <row r="93" spans="1:13" ht="42">
      <c r="A93" s="304"/>
      <c r="B93" s="305" t="s">
        <v>448</v>
      </c>
      <c r="C93" s="82"/>
      <c r="D93" s="306">
        <f>+[23]สรุปรายงาน!$D89</f>
        <v>77040</v>
      </c>
      <c r="E93" s="306">
        <f>+[23]สรุปรายงาน!$E$88</f>
        <v>497550</v>
      </c>
      <c r="F93" s="82">
        <f>+[23]สรุปรายงาน!$F$88</f>
        <v>0</v>
      </c>
      <c r="G93" s="82">
        <v>0</v>
      </c>
      <c r="H93" s="82">
        <v>0</v>
      </c>
      <c r="I93" s="82">
        <v>0</v>
      </c>
      <c r="J93" s="82">
        <v>0</v>
      </c>
      <c r="K93" s="82">
        <f>+[23]สรุปรายงาน!$D89</f>
        <v>77040</v>
      </c>
      <c r="L93" s="294"/>
      <c r="M93" s="294"/>
    </row>
    <row r="94" spans="1:13" s="69" customFormat="1">
      <c r="A94" s="1090" t="s">
        <v>279</v>
      </c>
      <c r="B94" s="1091"/>
      <c r="C94" s="102">
        <f t="shared" ref="C94:J94" si="7">+C11+C71+C13+C73+C23+C26+C33+C49+C55+C57+C64+C68+C88+C90</f>
        <v>160358300</v>
      </c>
      <c r="D94" s="102">
        <f t="shared" si="7"/>
        <v>0</v>
      </c>
      <c r="E94" s="102">
        <f t="shared" si="7"/>
        <v>160358300</v>
      </c>
      <c r="F94" s="102">
        <f t="shared" si="7"/>
        <v>337500</v>
      </c>
      <c r="G94" s="102">
        <f t="shared" si="7"/>
        <v>0</v>
      </c>
      <c r="H94" s="102">
        <f t="shared" si="7"/>
        <v>0</v>
      </c>
      <c r="I94" s="102">
        <f t="shared" si="7"/>
        <v>935227.4</v>
      </c>
      <c r="J94" s="102">
        <f t="shared" si="7"/>
        <v>1272727.3999999999</v>
      </c>
      <c r="K94" s="295">
        <f t="shared" si="5"/>
        <v>159085572.59999999</v>
      </c>
      <c r="L94" s="294"/>
      <c r="M94" s="294"/>
    </row>
    <row r="95" spans="1:13">
      <c r="A95" s="75" t="s">
        <v>280</v>
      </c>
      <c r="B95" s="75"/>
      <c r="C95" s="94"/>
      <c r="D95" s="94"/>
      <c r="E95" s="94"/>
      <c r="F95" s="94"/>
      <c r="G95" s="94"/>
      <c r="H95" s="94"/>
      <c r="I95" s="94"/>
      <c r="J95" s="94"/>
      <c r="K95" s="83">
        <f t="shared" si="5"/>
        <v>0</v>
      </c>
      <c r="L95" s="294"/>
      <c r="M95" s="294"/>
    </row>
    <row r="96" spans="1:13" s="79" customFormat="1">
      <c r="A96" s="95" t="s">
        <v>208</v>
      </c>
      <c r="B96" s="95"/>
      <c r="C96" s="96">
        <f>+C97</f>
        <v>2375300</v>
      </c>
      <c r="D96" s="96">
        <f t="shared" ref="D96:J96" si="8">+D97</f>
        <v>0</v>
      </c>
      <c r="E96" s="96">
        <f t="shared" si="8"/>
        <v>2375300</v>
      </c>
      <c r="F96" s="96">
        <f t="shared" si="8"/>
        <v>1070863.73</v>
      </c>
      <c r="G96" s="96">
        <f t="shared" si="8"/>
        <v>0</v>
      </c>
      <c r="H96" s="96">
        <f t="shared" si="8"/>
        <v>0</v>
      </c>
      <c r="I96" s="96">
        <f t="shared" si="8"/>
        <v>189900</v>
      </c>
      <c r="J96" s="96">
        <f t="shared" si="8"/>
        <v>1260763.73</v>
      </c>
      <c r="K96" s="297">
        <f t="shared" si="5"/>
        <v>1114536.27</v>
      </c>
      <c r="L96" s="294"/>
      <c r="M96" s="294"/>
    </row>
    <row r="97" spans="1:13">
      <c r="A97" s="80">
        <v>15</v>
      </c>
      <c r="B97" s="81" t="s">
        <v>281</v>
      </c>
      <c r="C97" s="97">
        <f>+[23]สรุปรายงาน!$C93</f>
        <v>2375300</v>
      </c>
      <c r="D97" s="98">
        <f>+[23]สรุปรายงาน!$D$93</f>
        <v>0</v>
      </c>
      <c r="E97" s="99">
        <f>+[25]ทะเบียนคุมงบลงทุน!V104</f>
        <v>2375300</v>
      </c>
      <c r="F97" s="99">
        <f>+[23]สรุปรายงาน!$F93</f>
        <v>1070863.73</v>
      </c>
      <c r="G97" s="99">
        <f>+[23]สรุปรายงาน!$G93</f>
        <v>0</v>
      </c>
      <c r="H97" s="99">
        <f>+[23]สรุปรายงาน!$H93</f>
        <v>0</v>
      </c>
      <c r="I97" s="99">
        <f>+[23]สรุปรายงาน!$I93</f>
        <v>189900</v>
      </c>
      <c r="J97" s="99">
        <f>SUM(F97:I97)</f>
        <v>1260763.73</v>
      </c>
      <c r="K97" s="83">
        <f t="shared" si="5"/>
        <v>1114536.27</v>
      </c>
      <c r="L97" s="294"/>
      <c r="M97" s="294"/>
    </row>
    <row r="98" spans="1:13" ht="42">
      <c r="A98" s="84"/>
      <c r="B98" s="85" t="s">
        <v>282</v>
      </c>
      <c r="C98" s="97">
        <f>+[23]สรุปรายงาน!$C94</f>
        <v>32200</v>
      </c>
      <c r="D98" s="98">
        <f>+[23]สรุปรายงาน!$D$93</f>
        <v>0</v>
      </c>
      <c r="E98" s="101">
        <f>+[25]ทะเบียนคุมงบลงทุน!V105</f>
        <v>32200</v>
      </c>
      <c r="F98" s="99">
        <f>+[23]สรุปรายงาน!$F94</f>
        <v>0</v>
      </c>
      <c r="G98" s="99">
        <f>+[23]สรุปรายงาน!$G94</f>
        <v>0</v>
      </c>
      <c r="H98" s="101">
        <f>+[23]สรุปรายงาน!$H94</f>
        <v>0</v>
      </c>
      <c r="I98" s="101">
        <f>+[23]สรุปรายงาน!$I94</f>
        <v>32200</v>
      </c>
      <c r="J98" s="101">
        <f t="shared" ref="J98:J108" si="9">SUM(F98:I98)</f>
        <v>32200</v>
      </c>
      <c r="K98" s="86">
        <f t="shared" si="5"/>
        <v>0</v>
      </c>
      <c r="L98" s="294"/>
      <c r="M98" s="294"/>
    </row>
    <row r="99" spans="1:13" ht="42">
      <c r="A99" s="84"/>
      <c r="B99" s="85" t="s">
        <v>283</v>
      </c>
      <c r="C99" s="97">
        <f>+[23]สรุปรายงาน!$C95</f>
        <v>45500</v>
      </c>
      <c r="D99" s="98">
        <f>+[23]สรุปรายงาน!$D$93</f>
        <v>0</v>
      </c>
      <c r="E99" s="101">
        <f>+[25]ทะเบียนคุมงบลงทุน!V106</f>
        <v>45500</v>
      </c>
      <c r="F99" s="99">
        <f>+[23]สรุปรายงาน!$F95</f>
        <v>0</v>
      </c>
      <c r="G99" s="99">
        <f>+[23]สรุปรายงาน!$G95</f>
        <v>0</v>
      </c>
      <c r="H99" s="101">
        <f>+[23]สรุปรายงาน!$H95</f>
        <v>0</v>
      </c>
      <c r="I99" s="101">
        <f>+[23]สรุปรายงาน!$I95</f>
        <v>45500</v>
      </c>
      <c r="J99" s="101">
        <f t="shared" si="9"/>
        <v>45500</v>
      </c>
      <c r="K99" s="86">
        <f t="shared" si="5"/>
        <v>0</v>
      </c>
      <c r="L99" s="294"/>
      <c r="M99" s="294"/>
    </row>
    <row r="100" spans="1:13">
      <c r="A100" s="84"/>
      <c r="B100" s="85" t="s">
        <v>284</v>
      </c>
      <c r="C100" s="97">
        <f>+[23]สรุปรายงาน!$C96</f>
        <v>63200</v>
      </c>
      <c r="D100" s="98">
        <f>+[23]สรุปรายงาน!$D$93</f>
        <v>0</v>
      </c>
      <c r="E100" s="101">
        <f>+[25]ทะเบียนคุมงบลงทุน!V107</f>
        <v>63200</v>
      </c>
      <c r="F100" s="99">
        <f>+[23]สรุปรายงาน!$F96</f>
        <v>0</v>
      </c>
      <c r="G100" s="99">
        <f>+[23]สรุปรายงาน!$G96</f>
        <v>0</v>
      </c>
      <c r="H100" s="101">
        <f>+[23]สรุปรายงาน!$H96</f>
        <v>0</v>
      </c>
      <c r="I100" s="101">
        <f>+[23]สรุปรายงาน!$I96</f>
        <v>59200</v>
      </c>
      <c r="J100" s="101">
        <f t="shared" si="9"/>
        <v>59200</v>
      </c>
      <c r="K100" s="86">
        <f t="shared" si="5"/>
        <v>4000</v>
      </c>
      <c r="L100" s="294"/>
      <c r="M100" s="294"/>
    </row>
    <row r="101" spans="1:13">
      <c r="A101" s="84"/>
      <c r="B101" s="85" t="s">
        <v>285</v>
      </c>
      <c r="C101" s="97">
        <f>+[23]สรุปรายงาน!$C97</f>
        <v>55000</v>
      </c>
      <c r="D101" s="98">
        <f>+[23]สรุปรายงาน!$D$93</f>
        <v>0</v>
      </c>
      <c r="E101" s="101">
        <f>+[25]ทะเบียนคุมงบลงทุน!V108</f>
        <v>55000</v>
      </c>
      <c r="F101" s="99">
        <f>+[23]สรุปรายงาน!$F97</f>
        <v>0</v>
      </c>
      <c r="G101" s="99">
        <f>+[23]สรุปรายงาน!$G97</f>
        <v>0</v>
      </c>
      <c r="H101" s="101">
        <f>+[23]สรุปรายงาน!$H97</f>
        <v>0</v>
      </c>
      <c r="I101" s="101">
        <f>+[23]สรุปรายงาน!$I97</f>
        <v>53000</v>
      </c>
      <c r="J101" s="101">
        <f t="shared" si="9"/>
        <v>53000</v>
      </c>
      <c r="K101" s="86">
        <f t="shared" si="5"/>
        <v>2000</v>
      </c>
      <c r="L101" s="294"/>
      <c r="M101" s="294"/>
    </row>
    <row r="102" spans="1:13" ht="42">
      <c r="A102" s="84"/>
      <c r="B102" s="85" t="s">
        <v>286</v>
      </c>
      <c r="C102" s="97">
        <f>+[23]สรุปรายงาน!$C98</f>
        <v>42100</v>
      </c>
      <c r="D102" s="98">
        <f>+[23]สรุปรายงาน!$D$93</f>
        <v>0</v>
      </c>
      <c r="E102" s="101">
        <f>+[25]ทะเบียนคุมงบลงทุน!V109</f>
        <v>42100</v>
      </c>
      <c r="F102" s="101">
        <f>+[23]สรุปรายงาน!$F98</f>
        <v>39900</v>
      </c>
      <c r="G102" s="99">
        <f>+[23]สรุปรายงาน!$G98</f>
        <v>0</v>
      </c>
      <c r="H102" s="101">
        <f>+[23]สรุปรายงาน!$H98</f>
        <v>0</v>
      </c>
      <c r="I102" s="101">
        <f>+[23]สรุปรายงาน!$I98</f>
        <v>0</v>
      </c>
      <c r="J102" s="101">
        <f t="shared" si="9"/>
        <v>39900</v>
      </c>
      <c r="K102" s="86">
        <f t="shared" si="5"/>
        <v>2200</v>
      </c>
      <c r="L102" s="294"/>
      <c r="M102" s="294"/>
    </row>
    <row r="103" spans="1:13" ht="42">
      <c r="A103" s="84"/>
      <c r="B103" s="85" t="s">
        <v>287</v>
      </c>
      <c r="C103" s="97">
        <f>+[23]สรุปรายงาน!$C99</f>
        <v>276300</v>
      </c>
      <c r="D103" s="98">
        <f>+[23]สรุปรายงาน!$D$93</f>
        <v>0</v>
      </c>
      <c r="E103" s="101">
        <f>+[25]ทะเบียนคุมงบลงทุน!V110</f>
        <v>276300</v>
      </c>
      <c r="F103" s="101">
        <f>+[23]สรุปรายงาน!$F99</f>
        <v>218280</v>
      </c>
      <c r="G103" s="99">
        <f>+[23]สรุปรายงาน!$G99</f>
        <v>0</v>
      </c>
      <c r="H103" s="101">
        <f>+[23]สรุปรายงาน!$H99</f>
        <v>0</v>
      </c>
      <c r="I103" s="101">
        <f>+[23]สรุปรายงาน!$I99</f>
        <v>0</v>
      </c>
      <c r="J103" s="101">
        <f t="shared" si="9"/>
        <v>218280</v>
      </c>
      <c r="K103" s="86">
        <f t="shared" si="5"/>
        <v>58020</v>
      </c>
      <c r="L103" s="294"/>
      <c r="M103" s="294"/>
    </row>
    <row r="104" spans="1:13" ht="42">
      <c r="A104" s="84"/>
      <c r="B104" s="85" t="s">
        <v>288</v>
      </c>
      <c r="C104" s="97">
        <f>+[23]สรุปรายงาน!$C100</f>
        <v>429500</v>
      </c>
      <c r="D104" s="98">
        <f>+[23]สรุปรายงาน!$D$93</f>
        <v>0</v>
      </c>
      <c r="E104" s="101">
        <f>+[25]ทะเบียนคุมงบลงทุน!V111</f>
        <v>429500</v>
      </c>
      <c r="F104" s="99">
        <f>+[23]สรุปรายงาน!$F100</f>
        <v>0</v>
      </c>
      <c r="G104" s="99">
        <f>+[23]สรุปรายงาน!$G100</f>
        <v>0</v>
      </c>
      <c r="H104" s="101">
        <f>+[23]สรุปรายงาน!$H100</f>
        <v>0</v>
      </c>
      <c r="I104" s="101">
        <f>+[23]สรุปรายงาน!$I100</f>
        <v>0</v>
      </c>
      <c r="J104" s="101">
        <f t="shared" si="9"/>
        <v>0</v>
      </c>
      <c r="K104" s="86">
        <f t="shared" si="5"/>
        <v>429500</v>
      </c>
      <c r="L104" s="294"/>
      <c r="M104" s="294"/>
    </row>
    <row r="105" spans="1:13">
      <c r="A105" s="84"/>
      <c r="B105" s="85" t="s">
        <v>289</v>
      </c>
      <c r="C105" s="97">
        <f>+[23]สรุปรายงาน!$C101</f>
        <v>44600</v>
      </c>
      <c r="D105" s="98">
        <f>+[23]สรุปรายงาน!$D$93</f>
        <v>0</v>
      </c>
      <c r="E105" s="101">
        <f>+[25]ทะเบียนคุมงบลงทุน!V112</f>
        <v>44600</v>
      </c>
      <c r="F105" s="99">
        <f>+[23]สรุปรายงาน!$F101</f>
        <v>0</v>
      </c>
      <c r="G105" s="99">
        <f>+[23]สรุปรายงาน!$G101</f>
        <v>0</v>
      </c>
      <c r="H105" s="101">
        <f>+[23]สรุปรายงาน!$H101</f>
        <v>0</v>
      </c>
      <c r="I105" s="101">
        <f>+[23]สรุปรายงาน!$I101</f>
        <v>0</v>
      </c>
      <c r="J105" s="101">
        <f>SUM(F105:I105)</f>
        <v>0</v>
      </c>
      <c r="K105" s="86">
        <f t="shared" si="5"/>
        <v>44600</v>
      </c>
      <c r="L105" s="294"/>
      <c r="M105" s="294"/>
    </row>
    <row r="106" spans="1:13" ht="42">
      <c r="A106" s="84"/>
      <c r="B106" s="85" t="s">
        <v>290</v>
      </c>
      <c r="C106" s="97">
        <f>+[23]สรุปรายงาน!$C102</f>
        <v>216400</v>
      </c>
      <c r="D106" s="98">
        <f>+[23]สรุปรายงาน!$D$93</f>
        <v>0</v>
      </c>
      <c r="E106" s="101">
        <f>+[25]ทะเบียนคุมงบลงทุน!V113</f>
        <v>216400</v>
      </c>
      <c r="F106" s="99">
        <f>+[23]สรุปรายงาน!$F102</f>
        <v>0</v>
      </c>
      <c r="G106" s="99">
        <f>+[23]สรุปรายงาน!$G102</f>
        <v>0</v>
      </c>
      <c r="H106" s="101">
        <f>+[23]สรุปรายงาน!$H102</f>
        <v>0</v>
      </c>
      <c r="I106" s="101">
        <f>+[23]สรุปรายงาน!$I102</f>
        <v>0</v>
      </c>
      <c r="J106" s="101">
        <f t="shared" si="9"/>
        <v>0</v>
      </c>
      <c r="K106" s="86">
        <f t="shared" si="5"/>
        <v>216400</v>
      </c>
      <c r="L106" s="294"/>
      <c r="M106" s="294"/>
    </row>
    <row r="107" spans="1:13" ht="42">
      <c r="A107" s="84"/>
      <c r="B107" s="85" t="s">
        <v>291</v>
      </c>
      <c r="C107" s="97">
        <f>+[23]สรุปรายงาน!$C103</f>
        <v>206500</v>
      </c>
      <c r="D107" s="98">
        <f>+[23]สรุปรายงาน!$D$93</f>
        <v>0</v>
      </c>
      <c r="E107" s="101">
        <f>+[25]ทะเบียนคุมงบลงทุน!V114</f>
        <v>206500</v>
      </c>
      <c r="F107" s="99">
        <f>+[23]สรุปรายงาน!$F103</f>
        <v>0</v>
      </c>
      <c r="G107" s="99">
        <f>+[23]สรุปรายงาน!$G103</f>
        <v>0</v>
      </c>
      <c r="H107" s="101">
        <f>+[23]สรุปรายงาน!$H103</f>
        <v>0</v>
      </c>
      <c r="I107" s="101">
        <f>+[23]สรุปรายงาน!$I103</f>
        <v>0</v>
      </c>
      <c r="J107" s="101">
        <f t="shared" si="9"/>
        <v>0</v>
      </c>
      <c r="K107" s="86">
        <f t="shared" si="5"/>
        <v>206500</v>
      </c>
      <c r="L107" s="294"/>
      <c r="M107" s="294"/>
    </row>
    <row r="108" spans="1:13">
      <c r="A108" s="84"/>
      <c r="B108" s="85" t="s">
        <v>292</v>
      </c>
      <c r="C108" s="97">
        <f>+[23]สรุปรายงาน!$C104</f>
        <v>964000</v>
      </c>
      <c r="D108" s="98">
        <f>+[23]สรุปรายงาน!$D$93</f>
        <v>0</v>
      </c>
      <c r="E108" s="101">
        <f>+[25]ทะเบียนคุมงบลงทุน!V115</f>
        <v>964000</v>
      </c>
      <c r="F108" s="101">
        <f>+[23]สรุปรายงาน!$F104</f>
        <v>812683.73</v>
      </c>
      <c r="G108" s="99">
        <f>+[23]สรุปรายงาน!$G104</f>
        <v>0</v>
      </c>
      <c r="H108" s="101">
        <f>+[23]สรุปรายงาน!$H104</f>
        <v>0</v>
      </c>
      <c r="I108" s="101">
        <f>+[23]สรุปรายงาน!$I104</f>
        <v>0</v>
      </c>
      <c r="J108" s="101">
        <f t="shared" si="9"/>
        <v>812683.73</v>
      </c>
      <c r="K108" s="86">
        <f t="shared" si="5"/>
        <v>151316.27000000002</v>
      </c>
      <c r="L108" s="294"/>
      <c r="M108" s="294"/>
    </row>
    <row r="109" spans="1:13" ht="21" customHeight="1">
      <c r="A109" s="1086" t="s">
        <v>293</v>
      </c>
      <c r="B109" s="1086"/>
      <c r="C109" s="102">
        <f t="shared" ref="C109:J109" si="10">+C97</f>
        <v>2375300</v>
      </c>
      <c r="D109" s="102">
        <f t="shared" si="10"/>
        <v>0</v>
      </c>
      <c r="E109" s="102">
        <f t="shared" si="10"/>
        <v>2375300</v>
      </c>
      <c r="F109" s="102">
        <f t="shared" si="10"/>
        <v>1070863.73</v>
      </c>
      <c r="G109" s="102">
        <f t="shared" si="10"/>
        <v>0</v>
      </c>
      <c r="H109" s="102">
        <f t="shared" si="10"/>
        <v>0</v>
      </c>
      <c r="I109" s="102">
        <f t="shared" si="10"/>
        <v>189900</v>
      </c>
      <c r="J109" s="102">
        <f t="shared" si="10"/>
        <v>1260763.73</v>
      </c>
      <c r="K109" s="295">
        <f t="shared" si="5"/>
        <v>1114536.27</v>
      </c>
      <c r="L109" s="294"/>
      <c r="M109" s="294"/>
    </row>
    <row r="110" spans="1:13">
      <c r="A110" s="75" t="s">
        <v>294</v>
      </c>
      <c r="B110" s="75"/>
      <c r="C110" s="103"/>
      <c r="D110" s="93"/>
      <c r="E110" s="104"/>
      <c r="F110" s="104"/>
      <c r="G110" s="93"/>
      <c r="H110" s="105"/>
      <c r="I110" s="106"/>
      <c r="J110" s="106"/>
      <c r="K110" s="83">
        <f t="shared" si="5"/>
        <v>0</v>
      </c>
      <c r="L110" s="294"/>
      <c r="M110" s="294"/>
    </row>
    <row r="111" spans="1:13" s="79" customFormat="1">
      <c r="A111" s="1084" t="s">
        <v>260</v>
      </c>
      <c r="B111" s="1085"/>
      <c r="C111" s="92">
        <f>+C112</f>
        <v>58911700</v>
      </c>
      <c r="D111" s="92">
        <f t="shared" ref="D111:J111" si="11">+D112</f>
        <v>0</v>
      </c>
      <c r="E111" s="92">
        <f t="shared" si="11"/>
        <v>58911700</v>
      </c>
      <c r="F111" s="92">
        <f t="shared" si="11"/>
        <v>0</v>
      </c>
      <c r="G111" s="92">
        <f t="shared" si="11"/>
        <v>0</v>
      </c>
      <c r="H111" s="92">
        <f t="shared" si="11"/>
        <v>0</v>
      </c>
      <c r="I111" s="92">
        <f t="shared" si="11"/>
        <v>0</v>
      </c>
      <c r="J111" s="92">
        <f t="shared" si="11"/>
        <v>0</v>
      </c>
      <c r="K111" s="296">
        <f t="shared" si="5"/>
        <v>58911700</v>
      </c>
      <c r="L111" s="294"/>
      <c r="M111" s="294"/>
    </row>
    <row r="112" spans="1:13">
      <c r="A112" s="80">
        <v>16</v>
      </c>
      <c r="B112" s="81" t="s">
        <v>277</v>
      </c>
      <c r="C112" s="97">
        <f>+[23]สรุปรายงาน!$C108</f>
        <v>58911700</v>
      </c>
      <c r="D112" s="98">
        <f>+[25]ทะเบียนคุมงบลงทุน!U119</f>
        <v>0</v>
      </c>
      <c r="E112" s="97">
        <f>+[25]ทะเบียนคุมงบลงทุน!V119</f>
        <v>58911700</v>
      </c>
      <c r="F112" s="97">
        <f>+[23]สรุปรายงาน!$F108</f>
        <v>0</v>
      </c>
      <c r="G112" s="97">
        <f>+[23]สรุปรายงาน!$G108</f>
        <v>0</v>
      </c>
      <c r="H112" s="97">
        <f>+[23]สรุปรายงาน!$H$108</f>
        <v>0</v>
      </c>
      <c r="I112" s="97">
        <f>+[23]สรุปรายงาน!$I$108</f>
        <v>0</v>
      </c>
      <c r="J112" s="97">
        <f>SUM(F112:I112)</f>
        <v>0</v>
      </c>
      <c r="K112" s="83">
        <f t="shared" si="5"/>
        <v>58911700</v>
      </c>
      <c r="L112" s="294"/>
      <c r="M112" s="294"/>
    </row>
    <row r="113" spans="1:13" ht="84">
      <c r="A113" s="84"/>
      <c r="B113" s="107" t="s">
        <v>295</v>
      </c>
      <c r="C113" s="97">
        <f>+[23]สรุปรายงาน!$C109</f>
        <v>58911700</v>
      </c>
      <c r="D113" s="108">
        <f>+[23]สรุปรายงาน!$D$109</f>
        <v>0</v>
      </c>
      <c r="E113" s="100">
        <f>+[25]ทะเบียนคุมงบลงทุน!V120</f>
        <v>58911700</v>
      </c>
      <c r="F113" s="97">
        <f>+[23]สรุปรายงาน!$F109</f>
        <v>0</v>
      </c>
      <c r="G113" s="97">
        <f>+[23]สรุปรายงาน!$G109</f>
        <v>0</v>
      </c>
      <c r="H113" s="97">
        <f>+[23]สรุปรายงาน!$H$108</f>
        <v>0</v>
      </c>
      <c r="I113" s="97">
        <f>+[23]สรุปรายงาน!$I$108</f>
        <v>0</v>
      </c>
      <c r="J113" s="97">
        <f>SUM(F113:I113)</f>
        <v>0</v>
      </c>
      <c r="K113" s="86">
        <f t="shared" si="5"/>
        <v>58911700</v>
      </c>
      <c r="L113" s="294"/>
      <c r="M113" s="294"/>
    </row>
    <row r="114" spans="1:13" ht="21" customHeight="1">
      <c r="A114" s="1086" t="s">
        <v>296</v>
      </c>
      <c r="B114" s="1086"/>
      <c r="C114" s="102">
        <f t="shared" ref="C114:J114" si="12">+C112</f>
        <v>58911700</v>
      </c>
      <c r="D114" s="102">
        <f t="shared" si="12"/>
        <v>0</v>
      </c>
      <c r="E114" s="102">
        <f t="shared" si="12"/>
        <v>58911700</v>
      </c>
      <c r="F114" s="102">
        <f t="shared" si="12"/>
        <v>0</v>
      </c>
      <c r="G114" s="102">
        <f t="shared" si="12"/>
        <v>0</v>
      </c>
      <c r="H114" s="102">
        <f t="shared" si="12"/>
        <v>0</v>
      </c>
      <c r="I114" s="102">
        <f t="shared" si="12"/>
        <v>0</v>
      </c>
      <c r="J114" s="102">
        <f t="shared" si="12"/>
        <v>0</v>
      </c>
      <c r="K114" s="295">
        <f t="shared" si="5"/>
        <v>58911700</v>
      </c>
      <c r="L114" s="294"/>
      <c r="M114" s="294"/>
    </row>
    <row r="115" spans="1:13">
      <c r="A115" s="75" t="s">
        <v>297</v>
      </c>
      <c r="B115" s="75"/>
      <c r="C115" s="103"/>
      <c r="D115" s="93"/>
      <c r="E115" s="104"/>
      <c r="F115" s="104"/>
      <c r="G115" s="93"/>
      <c r="H115" s="105"/>
      <c r="I115" s="106"/>
      <c r="J115" s="106"/>
      <c r="K115" s="83">
        <f t="shared" si="5"/>
        <v>0</v>
      </c>
      <c r="L115" s="294"/>
      <c r="M115" s="294"/>
    </row>
    <row r="116" spans="1:13" s="79" customFormat="1">
      <c r="A116" s="1084" t="s">
        <v>260</v>
      </c>
      <c r="B116" s="1085"/>
      <c r="C116" s="92">
        <f>+C117</f>
        <v>8500000</v>
      </c>
      <c r="D116" s="92">
        <f t="shared" ref="D116:J116" si="13">+D117</f>
        <v>0</v>
      </c>
      <c r="E116" s="92">
        <f t="shared" si="13"/>
        <v>8500000</v>
      </c>
      <c r="F116" s="92">
        <f t="shared" si="13"/>
        <v>0</v>
      </c>
      <c r="G116" s="92">
        <f t="shared" si="13"/>
        <v>0</v>
      </c>
      <c r="H116" s="92">
        <f t="shared" si="13"/>
        <v>0</v>
      </c>
      <c r="I116" s="92">
        <f t="shared" si="13"/>
        <v>0</v>
      </c>
      <c r="J116" s="92">
        <f t="shared" si="13"/>
        <v>0</v>
      </c>
      <c r="K116" s="296">
        <f t="shared" si="5"/>
        <v>8500000</v>
      </c>
      <c r="L116" s="294"/>
      <c r="M116" s="294"/>
    </row>
    <row r="117" spans="1:13">
      <c r="A117" s="80">
        <v>17</v>
      </c>
      <c r="B117" s="81" t="s">
        <v>298</v>
      </c>
      <c r="C117" s="94">
        <f>+[23]สรุปรายงาน!$C113</f>
        <v>8500000</v>
      </c>
      <c r="D117" s="109">
        <f>+[25]ทะเบียนคุมงบลงทุน!U124</f>
        <v>0</v>
      </c>
      <c r="E117" s="109">
        <f>+[25]ทะเบียนคุมงบลงทุน!V124</f>
        <v>8500000</v>
      </c>
      <c r="F117" s="109">
        <f>+[23]สรุปรายงาน!$F113</f>
        <v>0</v>
      </c>
      <c r="G117" s="109">
        <f>+[23]สรุปรายงาน!$G113</f>
        <v>0</v>
      </c>
      <c r="H117" s="109">
        <f>+[23]สรุปรายงาน!$H113</f>
        <v>0</v>
      </c>
      <c r="I117" s="109">
        <f>+[23]สรุปรายงาน!$I113</f>
        <v>0</v>
      </c>
      <c r="J117" s="109">
        <f>SUM(F117:I117)</f>
        <v>0</v>
      </c>
      <c r="K117" s="83">
        <f t="shared" si="5"/>
        <v>8500000</v>
      </c>
      <c r="L117" s="294"/>
      <c r="M117" s="294"/>
    </row>
    <row r="118" spans="1:13" ht="42">
      <c r="A118" s="84"/>
      <c r="B118" s="85" t="s">
        <v>299</v>
      </c>
      <c r="C118" s="94">
        <f>+[23]สรุปรายงาน!$C114</f>
        <v>5500000</v>
      </c>
      <c r="D118" s="110">
        <f>+[23]สรุปรายงาน!$D$114</f>
        <v>0</v>
      </c>
      <c r="E118" s="110">
        <f>+[25]ทะเบียนคุมงบลงทุน!V125</f>
        <v>5500000</v>
      </c>
      <c r="F118" s="109">
        <f>+[23]สรุปรายงาน!$F114</f>
        <v>0</v>
      </c>
      <c r="G118" s="109">
        <f>+[23]สรุปรายงาน!$G114</f>
        <v>0</v>
      </c>
      <c r="H118" s="109">
        <f>+[23]สรุปรายงาน!$H114</f>
        <v>0</v>
      </c>
      <c r="I118" s="109">
        <f>+[23]สรุปรายงาน!$I114</f>
        <v>0</v>
      </c>
      <c r="J118" s="109">
        <f t="shared" ref="J118:J119" si="14">SUM(F118:I118)</f>
        <v>0</v>
      </c>
      <c r="K118" s="86">
        <f t="shared" si="5"/>
        <v>5500000</v>
      </c>
      <c r="L118" s="294"/>
      <c r="M118" s="294"/>
    </row>
    <row r="119" spans="1:13" ht="42">
      <c r="A119" s="84"/>
      <c r="B119" s="85" t="s">
        <v>300</v>
      </c>
      <c r="C119" s="94">
        <f>+[23]สรุปรายงาน!$C115</f>
        <v>3000000</v>
      </c>
      <c r="D119" s="110">
        <f>+[23]สรุปรายงาน!$D$114</f>
        <v>0</v>
      </c>
      <c r="E119" s="110">
        <f>+[25]ทะเบียนคุมงบลงทุน!V126</f>
        <v>3000000</v>
      </c>
      <c r="F119" s="109">
        <f>+[23]สรุปรายงาน!$F115</f>
        <v>0</v>
      </c>
      <c r="G119" s="109">
        <f>+[23]สรุปรายงาน!$G115</f>
        <v>0</v>
      </c>
      <c r="H119" s="109">
        <f>+[23]สรุปรายงาน!$H115</f>
        <v>0</v>
      </c>
      <c r="I119" s="109">
        <f>+[23]สรุปรายงาน!$I115</f>
        <v>0</v>
      </c>
      <c r="J119" s="109">
        <f t="shared" si="14"/>
        <v>0</v>
      </c>
      <c r="K119" s="86">
        <f t="shared" si="5"/>
        <v>3000000</v>
      </c>
      <c r="L119" s="294"/>
      <c r="M119" s="294"/>
    </row>
    <row r="120" spans="1:13" ht="21" customHeight="1">
      <c r="A120" s="1086" t="s">
        <v>301</v>
      </c>
      <c r="B120" s="1086"/>
      <c r="C120" s="102">
        <f>+C117</f>
        <v>8500000</v>
      </c>
      <c r="D120" s="102">
        <f t="shared" ref="D120:I120" si="15">+D117</f>
        <v>0</v>
      </c>
      <c r="E120" s="102">
        <f t="shared" si="15"/>
        <v>8500000</v>
      </c>
      <c r="F120" s="102">
        <f t="shared" si="15"/>
        <v>0</v>
      </c>
      <c r="G120" s="102">
        <f t="shared" si="15"/>
        <v>0</v>
      </c>
      <c r="H120" s="102">
        <f t="shared" si="15"/>
        <v>0</v>
      </c>
      <c r="I120" s="102">
        <f t="shared" si="15"/>
        <v>0</v>
      </c>
      <c r="J120" s="102">
        <f t="shared" ref="J120" si="16">+J117</f>
        <v>0</v>
      </c>
      <c r="K120" s="295">
        <f t="shared" si="5"/>
        <v>8500000</v>
      </c>
      <c r="L120" s="294"/>
      <c r="M120" s="294"/>
    </row>
    <row r="121" spans="1:13" s="69" customFormat="1" ht="21.75" thickBot="1">
      <c r="A121" s="1087" t="s">
        <v>11</v>
      </c>
      <c r="B121" s="1088"/>
      <c r="C121" s="111">
        <f t="shared" ref="C121:K121" si="17">+C94+C109+C114+C120</f>
        <v>230145300</v>
      </c>
      <c r="D121" s="111">
        <f t="shared" si="17"/>
        <v>0</v>
      </c>
      <c r="E121" s="111">
        <f t="shared" si="17"/>
        <v>230145300</v>
      </c>
      <c r="F121" s="111">
        <f t="shared" si="17"/>
        <v>1408363.73</v>
      </c>
      <c r="G121" s="111">
        <f t="shared" si="17"/>
        <v>0</v>
      </c>
      <c r="H121" s="111">
        <f t="shared" si="17"/>
        <v>0</v>
      </c>
      <c r="I121" s="111">
        <f t="shared" si="17"/>
        <v>1125127.3999999999</v>
      </c>
      <c r="J121" s="111">
        <f t="shared" ref="J121" si="18">+J94+J109+J114+J120</f>
        <v>2533491.13</v>
      </c>
      <c r="K121" s="111">
        <f t="shared" si="17"/>
        <v>227611808.87</v>
      </c>
      <c r="L121" s="294"/>
      <c r="M121" s="294"/>
    </row>
    <row r="122" spans="1:13" ht="21.75" thickTop="1"/>
    <row r="123" spans="1:13">
      <c r="C123" s="112"/>
      <c r="E123" s="113"/>
    </row>
    <row r="124" spans="1:13">
      <c r="C124" s="113"/>
    </row>
  </sheetData>
  <mergeCells count="14">
    <mergeCell ref="A116:B116"/>
    <mergeCell ref="A120:B120"/>
    <mergeCell ref="A121:B121"/>
    <mergeCell ref="A1:K1"/>
    <mergeCell ref="A2:K2"/>
    <mergeCell ref="A3:K3"/>
    <mergeCell ref="A111:B111"/>
    <mergeCell ref="A114:B114"/>
    <mergeCell ref="A70:B70"/>
    <mergeCell ref="A94:B94"/>
    <mergeCell ref="A109:B109"/>
    <mergeCell ref="A6:K6"/>
    <mergeCell ref="A4:K4"/>
    <mergeCell ref="A5:K5"/>
  </mergeCells>
  <pageMargins left="0.15748031496062992" right="0.15748031496062992" top="0.19685039370078741" bottom="0.23622047244094491" header="0.15748031496062992" footer="0.15748031496062992"/>
  <pageSetup paperSize="9" scale="70" orientation="landscape" verticalDpi="0" r:id="rId1"/>
  <headerFooter>
    <oddHeader>&amp;R&amp;P/&amp;N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Y4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35" sqref="D35"/>
    </sheetView>
  </sheetViews>
  <sheetFormatPr defaultRowHeight="14.25"/>
  <cols>
    <col min="1" max="1" width="5.625" customWidth="1"/>
    <col min="2" max="2" width="20.125" customWidth="1"/>
    <col min="3" max="3" width="14" customWidth="1"/>
    <col min="4" max="4" width="13.625" customWidth="1"/>
    <col min="7" max="7" width="11" customWidth="1"/>
    <col min="8" max="8" width="6.875" customWidth="1"/>
    <col min="9" max="9" width="11.375" customWidth="1"/>
    <col min="10" max="10" width="6.375" customWidth="1"/>
    <col min="11" max="11" width="13.625" customWidth="1"/>
    <col min="12" max="12" width="7.5" customWidth="1"/>
    <col min="13" max="13" width="13.125" customWidth="1"/>
    <col min="14" max="14" width="7.75" customWidth="1"/>
    <col min="15" max="15" width="14" customWidth="1"/>
    <col min="16" max="16" width="8" customWidth="1"/>
    <col min="17" max="17" width="14.125" customWidth="1"/>
    <col min="18" max="18" width="7.875" customWidth="1"/>
  </cols>
  <sheetData>
    <row r="1" spans="1:25" ht="21">
      <c r="A1" s="1022" t="s">
        <v>189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  <c r="M1" s="1022"/>
      <c r="N1" s="1022"/>
      <c r="O1" s="1022"/>
      <c r="P1" s="1022"/>
      <c r="Q1" s="1022"/>
      <c r="R1" s="1022"/>
    </row>
    <row r="2" spans="1:25" ht="21">
      <c r="A2" s="1022" t="s">
        <v>401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022"/>
      <c r="N2" s="1022"/>
      <c r="O2" s="1022"/>
      <c r="P2" s="1022"/>
      <c r="Q2" s="1022"/>
      <c r="R2" s="1022"/>
    </row>
    <row r="3" spans="1:25" ht="21">
      <c r="A3" s="1092" t="str">
        <f>+งบดำเนินงาน!A3</f>
        <v>ตั้งแต่วันที่ 1 ตุลาคม 2565 - 31 ธันวาคม 2565</v>
      </c>
      <c r="B3" s="1092"/>
      <c r="C3" s="1092"/>
      <c r="D3" s="1092"/>
      <c r="E3" s="1092"/>
      <c r="F3" s="1092"/>
      <c r="G3" s="1092"/>
      <c r="H3" s="1092"/>
      <c r="I3" s="1092"/>
      <c r="J3" s="1092"/>
      <c r="K3" s="1092"/>
      <c r="L3" s="1092"/>
      <c r="M3" s="1092"/>
      <c r="N3" s="1092"/>
      <c r="O3" s="1092"/>
      <c r="P3" s="1092"/>
      <c r="Q3" s="1092"/>
      <c r="R3" s="1092"/>
    </row>
    <row r="4" spans="1:25" s="55" customFormat="1" ht="21">
      <c r="A4" s="215" t="s">
        <v>406</v>
      </c>
      <c r="B4" s="53"/>
      <c r="C4" s="209" t="s">
        <v>191</v>
      </c>
      <c r="D4" s="209" t="s">
        <v>192</v>
      </c>
      <c r="E4" s="209" t="s">
        <v>193</v>
      </c>
      <c r="F4" s="209"/>
      <c r="G4" s="209" t="s">
        <v>194</v>
      </c>
      <c r="H4" s="209"/>
      <c r="I4" s="209" t="s">
        <v>195</v>
      </c>
      <c r="J4" s="209"/>
      <c r="K4" s="209" t="s">
        <v>196</v>
      </c>
      <c r="L4" s="209"/>
      <c r="M4" s="1054" t="s">
        <v>197</v>
      </c>
      <c r="N4" s="1054"/>
      <c r="O4" s="209" t="s">
        <v>198</v>
      </c>
      <c r="P4" s="209"/>
      <c r="Q4" s="209" t="s">
        <v>199</v>
      </c>
      <c r="R4" s="53"/>
      <c r="S4" s="54"/>
      <c r="T4" s="54"/>
      <c r="U4" s="54"/>
      <c r="V4" s="54"/>
      <c r="W4" s="54"/>
      <c r="X4" s="54"/>
      <c r="Y4" s="58"/>
    </row>
    <row r="5" spans="1:25" s="36" customFormat="1" ht="21" customHeight="1">
      <c r="A5" s="1081" t="s">
        <v>106</v>
      </c>
      <c r="B5" s="1082" t="s">
        <v>167</v>
      </c>
      <c r="C5" s="1059" t="s">
        <v>118</v>
      </c>
      <c r="D5" s="1059" t="s">
        <v>131</v>
      </c>
      <c r="E5" s="1027" t="s">
        <v>5</v>
      </c>
      <c r="F5" s="1027"/>
      <c r="G5" s="1028" t="s">
        <v>6</v>
      </c>
      <c r="H5" s="1028"/>
      <c r="I5" s="1017" t="s">
        <v>7</v>
      </c>
      <c r="J5" s="1017"/>
      <c r="K5" s="1018" t="s">
        <v>127</v>
      </c>
      <c r="L5" s="1018"/>
      <c r="M5" s="1093" t="s">
        <v>121</v>
      </c>
      <c r="N5" s="1093"/>
      <c r="O5" s="1008" t="s">
        <v>128</v>
      </c>
      <c r="P5" s="1008"/>
      <c r="Q5" s="1008" t="s">
        <v>129</v>
      </c>
      <c r="R5" s="1008"/>
    </row>
    <row r="6" spans="1:25" s="36" customFormat="1" ht="21">
      <c r="A6" s="1081"/>
      <c r="B6" s="1082"/>
      <c r="C6" s="1059"/>
      <c r="D6" s="1059"/>
      <c r="E6" s="210" t="s">
        <v>119</v>
      </c>
      <c r="F6" s="210" t="s">
        <v>124</v>
      </c>
      <c r="G6" s="210" t="s">
        <v>119</v>
      </c>
      <c r="H6" s="210" t="s">
        <v>124</v>
      </c>
      <c r="I6" s="210" t="s">
        <v>119</v>
      </c>
      <c r="J6" s="210" t="s">
        <v>124</v>
      </c>
      <c r="K6" s="210" t="s">
        <v>119</v>
      </c>
      <c r="L6" s="210" t="s">
        <v>124</v>
      </c>
      <c r="M6" s="210" t="s">
        <v>119</v>
      </c>
      <c r="N6" s="210" t="s">
        <v>124</v>
      </c>
      <c r="O6" s="210" t="s">
        <v>119</v>
      </c>
      <c r="P6" s="210" t="s">
        <v>124</v>
      </c>
      <c r="Q6" s="210" t="s">
        <v>119</v>
      </c>
      <c r="R6" s="210" t="s">
        <v>124</v>
      </c>
    </row>
    <row r="7" spans="1:25" s="1" customFormat="1" ht="21">
      <c r="A7" s="1083" t="s">
        <v>180</v>
      </c>
      <c r="B7" s="1083"/>
      <c r="C7" s="41"/>
      <c r="D7" s="41"/>
      <c r="E7" s="41"/>
      <c r="F7" s="41"/>
      <c r="G7" s="41"/>
      <c r="H7" s="41"/>
      <c r="I7" s="41"/>
      <c r="J7" s="41"/>
      <c r="K7" s="41"/>
      <c r="L7" s="41"/>
      <c r="M7" s="48">
        <f>+E7+G7+I7+K7</f>
        <v>0</v>
      </c>
      <c r="N7" s="41"/>
      <c r="O7" s="48">
        <f>+D7-M7</f>
        <v>0</v>
      </c>
      <c r="P7" s="41"/>
      <c r="Q7" s="48">
        <f>+C7-M7</f>
        <v>0</v>
      </c>
      <c r="R7" s="41"/>
    </row>
    <row r="8" spans="1:25" s="1" customFormat="1" ht="21">
      <c r="A8" s="41">
        <v>1</v>
      </c>
      <c r="B8" s="51" t="s">
        <v>83</v>
      </c>
      <c r="C8" s="48">
        <f>+ยาเสพติด!C9</f>
        <v>8407500</v>
      </c>
      <c r="D8" s="48">
        <f>+ยาเสพติด!D9</f>
        <v>4203750</v>
      </c>
      <c r="E8" s="48">
        <f>+ยาเสพติด!E9</f>
        <v>0</v>
      </c>
      <c r="F8" s="48">
        <f>+E8*100/D8</f>
        <v>0</v>
      </c>
      <c r="G8" s="48">
        <f>+ยาเสพติด!G9</f>
        <v>47306.5</v>
      </c>
      <c r="H8" s="48">
        <f>+G8*100/D8</f>
        <v>1.1253404698186142</v>
      </c>
      <c r="I8" s="48">
        <f>+ยาเสพติด!I9</f>
        <v>0</v>
      </c>
      <c r="J8" s="48">
        <f>+I8*100/D8</f>
        <v>0</v>
      </c>
      <c r="K8" s="48">
        <f>+ยาเสพติด!K9</f>
        <v>1342112</v>
      </c>
      <c r="L8" s="48">
        <f>+K8*100/D8</f>
        <v>31.926541778174251</v>
      </c>
      <c r="M8" s="48">
        <f>+E8+G8+I8+K8</f>
        <v>1389418.5</v>
      </c>
      <c r="N8" s="48">
        <f>+M8*100/D8</f>
        <v>33.051882247992864</v>
      </c>
      <c r="O8" s="48">
        <f>+D8-M8</f>
        <v>2814331.5</v>
      </c>
      <c r="P8" s="48">
        <f>+O8*100/D8</f>
        <v>66.948117752007136</v>
      </c>
      <c r="Q8" s="48">
        <f>+C8-M8</f>
        <v>7018081.5</v>
      </c>
      <c r="R8" s="48">
        <f>+Q8*100/C8</f>
        <v>83.474058876003568</v>
      </c>
      <c r="S8" s="2"/>
      <c r="T8" s="2"/>
    </row>
    <row r="9" spans="1:25" s="1" customFormat="1" ht="21">
      <c r="A9" s="41">
        <v>2</v>
      </c>
      <c r="B9" s="51" t="s">
        <v>85</v>
      </c>
      <c r="C9" s="48">
        <f>+ยาเสพติด!C8</f>
        <v>10175636</v>
      </c>
      <c r="D9" s="48">
        <f>+ยาเสพติด!D8</f>
        <v>4029386</v>
      </c>
      <c r="E9" s="48">
        <f>+ยาเสพติด!E8</f>
        <v>0</v>
      </c>
      <c r="F9" s="48">
        <f t="shared" ref="F9:F10" si="0">+E9*100/D9</f>
        <v>0</v>
      </c>
      <c r="G9" s="48">
        <f>+ยาเสพติด!G8</f>
        <v>0</v>
      </c>
      <c r="H9" s="48">
        <f t="shared" ref="H9:H10" si="1">+G9*100/D9</f>
        <v>0</v>
      </c>
      <c r="I9" s="48">
        <f>+ยาเสพติด!I8</f>
        <v>0</v>
      </c>
      <c r="J9" s="48">
        <f>+I9*100/D9</f>
        <v>0</v>
      </c>
      <c r="K9" s="48">
        <f>+ยาเสพติด!K8</f>
        <v>1629840</v>
      </c>
      <c r="L9" s="48">
        <f>+K9*100/D9</f>
        <v>40.448842578000715</v>
      </c>
      <c r="M9" s="48">
        <f>+E9+G9+I9+K9</f>
        <v>1629840</v>
      </c>
      <c r="N9" s="48">
        <f>+M9*100/D9</f>
        <v>40.448842578000715</v>
      </c>
      <c r="O9" s="48">
        <f>+D9-M9</f>
        <v>2399546</v>
      </c>
      <c r="P9" s="48">
        <f>+O9*100/D9</f>
        <v>59.551157421999285</v>
      </c>
      <c r="Q9" s="48">
        <f>+C9-M9</f>
        <v>8545796</v>
      </c>
      <c r="R9" s="48">
        <f t="shared" ref="R9:R10" si="2">+Q9*100/C9</f>
        <v>83.982917627949746</v>
      </c>
      <c r="S9" s="2"/>
      <c r="T9" s="2"/>
    </row>
    <row r="10" spans="1:25" s="37" customFormat="1" ht="21.75" thickBot="1">
      <c r="A10" s="216"/>
      <c r="B10" s="217" t="s">
        <v>135</v>
      </c>
      <c r="C10" s="43">
        <f>+C8+C9</f>
        <v>18583136</v>
      </c>
      <c r="D10" s="43">
        <f>+D8+D9</f>
        <v>8233136</v>
      </c>
      <c r="E10" s="43">
        <f>+E8+E9</f>
        <v>0</v>
      </c>
      <c r="F10" s="43">
        <f t="shared" si="0"/>
        <v>0</v>
      </c>
      <c r="G10" s="43">
        <f>+G8+G9</f>
        <v>47306.5</v>
      </c>
      <c r="H10" s="43">
        <f t="shared" si="1"/>
        <v>0.57458664596333642</v>
      </c>
      <c r="I10" s="43">
        <f t="shared" ref="I10:Q10" si="3">+I8+I9</f>
        <v>0</v>
      </c>
      <c r="J10" s="43">
        <f t="shared" si="3"/>
        <v>0</v>
      </c>
      <c r="K10" s="43">
        <f t="shared" si="3"/>
        <v>2971952</v>
      </c>
      <c r="L10" s="43">
        <f t="shared" si="3"/>
        <v>72.375384356174962</v>
      </c>
      <c r="M10" s="43">
        <f t="shared" si="3"/>
        <v>3019258.5</v>
      </c>
      <c r="N10" s="43">
        <f>+M10*100/D10</f>
        <v>36.672034811522607</v>
      </c>
      <c r="O10" s="43">
        <f t="shared" si="3"/>
        <v>5213877.5</v>
      </c>
      <c r="P10" s="43">
        <f>+O10*100/D10</f>
        <v>63.327965188477393</v>
      </c>
      <c r="Q10" s="43">
        <f t="shared" si="3"/>
        <v>15563877.5</v>
      </c>
      <c r="R10" s="43">
        <f t="shared" si="2"/>
        <v>83.752696530876165</v>
      </c>
      <c r="S10" s="2"/>
      <c r="T10" s="2"/>
    </row>
    <row r="11" spans="1:25" s="37" customFormat="1" ht="21.75" thickTop="1">
      <c r="A11" s="298"/>
      <c r="B11" s="275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"/>
      <c r="T11" s="2"/>
    </row>
    <row r="12" spans="1:25" s="37" customFormat="1" ht="21">
      <c r="A12" s="298"/>
      <c r="B12" s="275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"/>
      <c r="T12" s="2"/>
    </row>
    <row r="13" spans="1:25" s="37" customFormat="1" ht="21">
      <c r="A13" s="298"/>
      <c r="B13" s="275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"/>
      <c r="T13" s="2"/>
    </row>
    <row r="14" spans="1:25" s="37" customFormat="1" ht="21">
      <c r="A14" s="298"/>
      <c r="B14" s="275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"/>
      <c r="T14" s="2"/>
    </row>
    <row r="15" spans="1:25" ht="21">
      <c r="S15" s="2"/>
      <c r="T15" s="2"/>
    </row>
    <row r="16" spans="1:25" s="55" customFormat="1" ht="21">
      <c r="A16" s="215" t="s">
        <v>407</v>
      </c>
      <c r="B16" s="53"/>
      <c r="C16" s="209" t="s">
        <v>191</v>
      </c>
      <c r="D16" s="209" t="s">
        <v>192</v>
      </c>
      <c r="E16" s="209" t="s">
        <v>193</v>
      </c>
      <c r="F16" s="209"/>
      <c r="G16" s="209" t="s">
        <v>194</v>
      </c>
      <c r="H16" s="209"/>
      <c r="I16" s="209" t="s">
        <v>195</v>
      </c>
      <c r="J16" s="209"/>
      <c r="K16" s="209" t="s">
        <v>196</v>
      </c>
      <c r="L16" s="209"/>
      <c r="M16" s="1054" t="s">
        <v>197</v>
      </c>
      <c r="N16" s="1054"/>
      <c r="O16" s="209" t="s">
        <v>198</v>
      </c>
      <c r="P16" s="209"/>
      <c r="Q16" s="209" t="s">
        <v>199</v>
      </c>
      <c r="R16" s="53"/>
      <c r="S16" s="2"/>
      <c r="T16" s="2"/>
      <c r="U16" s="54"/>
      <c r="V16" s="54"/>
      <c r="W16" s="54"/>
      <c r="X16" s="54"/>
      <c r="Y16" s="58"/>
    </row>
    <row r="17" spans="1:20" s="36" customFormat="1" ht="21" customHeight="1">
      <c r="A17" s="1081" t="s">
        <v>106</v>
      </c>
      <c r="B17" s="1082" t="s">
        <v>167</v>
      </c>
      <c r="C17" s="1059" t="s">
        <v>118</v>
      </c>
      <c r="D17" s="1059" t="s">
        <v>131</v>
      </c>
      <c r="E17" s="1027" t="s">
        <v>5</v>
      </c>
      <c r="F17" s="1027"/>
      <c r="G17" s="1028" t="s">
        <v>310</v>
      </c>
      <c r="H17" s="1028"/>
      <c r="I17" s="1017" t="s">
        <v>311</v>
      </c>
      <c r="J17" s="1017"/>
      <c r="K17" s="1018" t="s">
        <v>127</v>
      </c>
      <c r="L17" s="1018"/>
      <c r="M17" s="1093" t="s">
        <v>121</v>
      </c>
      <c r="N17" s="1093"/>
      <c r="O17" s="1008" t="s">
        <v>128</v>
      </c>
      <c r="P17" s="1008"/>
      <c r="Q17" s="1008" t="s">
        <v>129</v>
      </c>
      <c r="R17" s="1008"/>
      <c r="S17" s="2"/>
      <c r="T17" s="2"/>
    </row>
    <row r="18" spans="1:20" s="36" customFormat="1" ht="21">
      <c r="A18" s="1081"/>
      <c r="B18" s="1082"/>
      <c r="C18" s="1059"/>
      <c r="D18" s="1059"/>
      <c r="E18" s="210" t="s">
        <v>119</v>
      </c>
      <c r="F18" s="210" t="s">
        <v>124</v>
      </c>
      <c r="G18" s="210" t="s">
        <v>119</v>
      </c>
      <c r="H18" s="210" t="s">
        <v>124</v>
      </c>
      <c r="I18" s="210" t="s">
        <v>119</v>
      </c>
      <c r="J18" s="210" t="s">
        <v>124</v>
      </c>
      <c r="K18" s="210" t="s">
        <v>119</v>
      </c>
      <c r="L18" s="210" t="s">
        <v>124</v>
      </c>
      <c r="M18" s="210" t="s">
        <v>119</v>
      </c>
      <c r="N18" s="210" t="s">
        <v>124</v>
      </c>
      <c r="O18" s="210" t="s">
        <v>119</v>
      </c>
      <c r="P18" s="210" t="s">
        <v>124</v>
      </c>
      <c r="Q18" s="210" t="s">
        <v>119</v>
      </c>
      <c r="R18" s="210" t="s">
        <v>124</v>
      </c>
      <c r="S18" s="2"/>
      <c r="T18" s="2"/>
    </row>
    <row r="19" spans="1:20" s="37" customFormat="1" ht="21">
      <c r="A19" s="1083" t="s">
        <v>402</v>
      </c>
      <c r="B19" s="1083"/>
      <c r="C19" s="49">
        <f>SUM(C20:C22)</f>
        <v>1500000</v>
      </c>
      <c r="D19" s="49">
        <f t="shared" ref="D19:O19" si="4">SUM(D20:D22)</f>
        <v>862500</v>
      </c>
      <c r="E19" s="49"/>
      <c r="F19" s="49"/>
      <c r="G19" s="49">
        <f t="shared" si="4"/>
        <v>0</v>
      </c>
      <c r="H19" s="49">
        <f>+G19*100/D19</f>
        <v>0</v>
      </c>
      <c r="I19" s="49">
        <f t="shared" si="4"/>
        <v>1000</v>
      </c>
      <c r="J19" s="49">
        <f>+I19*100/D19</f>
        <v>0.11594202898550725</v>
      </c>
      <c r="K19" s="49">
        <f t="shared" si="4"/>
        <v>0</v>
      </c>
      <c r="L19" s="49">
        <f>+K19*100/D19</f>
        <v>0</v>
      </c>
      <c r="M19" s="49">
        <f t="shared" si="4"/>
        <v>1000</v>
      </c>
      <c r="N19" s="49">
        <f>+M19*100/D19</f>
        <v>0.11594202898550725</v>
      </c>
      <c r="O19" s="49">
        <f t="shared" si="4"/>
        <v>861500</v>
      </c>
      <c r="P19" s="49">
        <f>+O19*100/D19</f>
        <v>99.884057971014499</v>
      </c>
      <c r="Q19" s="49">
        <f>SUM(Q20:Q22)</f>
        <v>1499000</v>
      </c>
      <c r="R19" s="49">
        <f>+Q19*100/C19</f>
        <v>99.933333333333337</v>
      </c>
      <c r="S19" s="2"/>
      <c r="T19" s="2"/>
    </row>
    <row r="20" spans="1:20" s="1" customFormat="1" ht="21">
      <c r="A20" s="41">
        <v>1</v>
      </c>
      <c r="B20" s="51" t="s">
        <v>84</v>
      </c>
      <c r="C20" s="48">
        <f>+[24]สรุป!D6</f>
        <v>550000</v>
      </c>
      <c r="D20" s="48">
        <f>+[24]สรุป!G6</f>
        <v>270400</v>
      </c>
      <c r="E20" s="48"/>
      <c r="F20" s="48"/>
      <c r="G20" s="48">
        <f>+[24]สรุป!H6</f>
        <v>0</v>
      </c>
      <c r="H20" s="48">
        <f>+G20*100/D20</f>
        <v>0</v>
      </c>
      <c r="I20" s="48">
        <f>+[24]สรุป!I6</f>
        <v>0</v>
      </c>
      <c r="J20" s="48">
        <f>+I20*100/D20</f>
        <v>0</v>
      </c>
      <c r="K20" s="48">
        <f>+[24]สรุป!J6</f>
        <v>0</v>
      </c>
      <c r="L20" s="48">
        <f>+K20*100/D20</f>
        <v>0</v>
      </c>
      <c r="M20" s="48">
        <f>+E20+G20+I20+K20</f>
        <v>0</v>
      </c>
      <c r="N20" s="48">
        <f>+M20*100/D20</f>
        <v>0</v>
      </c>
      <c r="O20" s="48">
        <f>+D20-M20</f>
        <v>270400</v>
      </c>
      <c r="P20" s="48">
        <f>+O20*100/D20</f>
        <v>100</v>
      </c>
      <c r="Q20" s="48">
        <f>+C20-M20</f>
        <v>550000</v>
      </c>
      <c r="R20" s="48">
        <f>+Q20*100/C20</f>
        <v>100</v>
      </c>
      <c r="S20" s="2"/>
      <c r="T20" s="2"/>
    </row>
    <row r="21" spans="1:20" s="1" customFormat="1" ht="21">
      <c r="A21" s="41">
        <v>2</v>
      </c>
      <c r="B21" s="51" t="s">
        <v>82</v>
      </c>
      <c r="C21" s="48">
        <f>+[24]สรุป!D7</f>
        <v>700000</v>
      </c>
      <c r="D21" s="48">
        <f>+[24]สรุป!G7</f>
        <v>536200</v>
      </c>
      <c r="E21" s="48"/>
      <c r="F21" s="48"/>
      <c r="G21" s="48">
        <f>+[24]สรุป!H7</f>
        <v>0</v>
      </c>
      <c r="H21" s="48">
        <f t="shared" ref="H21:H23" si="5">+G21*100/D21</f>
        <v>0</v>
      </c>
      <c r="I21" s="48">
        <f>+[24]สรุป!I7</f>
        <v>1000</v>
      </c>
      <c r="J21" s="48">
        <f>+I21*100/D21</f>
        <v>0.18649757553151808</v>
      </c>
      <c r="K21" s="48">
        <f>+[24]สรุป!J7</f>
        <v>0</v>
      </c>
      <c r="L21" s="48">
        <f>+K21*100/D21</f>
        <v>0</v>
      </c>
      <c r="M21" s="48">
        <f>+E21+G21+I21+K21</f>
        <v>1000</v>
      </c>
      <c r="N21" s="48">
        <f>+M21*100/D21</f>
        <v>0.18649757553151808</v>
      </c>
      <c r="O21" s="48">
        <f>+D21-M21</f>
        <v>535200</v>
      </c>
      <c r="P21" s="48">
        <f>+O21*100/D21</f>
        <v>99.813502424468481</v>
      </c>
      <c r="Q21" s="48">
        <f>+C21-M21</f>
        <v>699000</v>
      </c>
      <c r="R21" s="48">
        <f t="shared" ref="R21:R23" si="6">+Q21*100/C21</f>
        <v>99.857142857142861</v>
      </c>
      <c r="S21" s="2"/>
      <c r="T21" s="2"/>
    </row>
    <row r="22" spans="1:20" ht="21">
      <c r="A22" s="41">
        <v>3</v>
      </c>
      <c r="B22" s="51" t="s">
        <v>90</v>
      </c>
      <c r="C22" s="48">
        <f>+[24]สรุป!D8</f>
        <v>250000</v>
      </c>
      <c r="D22" s="48">
        <f>+[24]สรุป!G8</f>
        <v>55900</v>
      </c>
      <c r="E22" s="48"/>
      <c r="F22" s="48"/>
      <c r="G22" s="48">
        <f>+[24]สรุป!H8</f>
        <v>0</v>
      </c>
      <c r="H22" s="48">
        <f t="shared" si="5"/>
        <v>0</v>
      </c>
      <c r="I22" s="48">
        <f>+[24]สรุป!I8</f>
        <v>0</v>
      </c>
      <c r="J22" s="48">
        <f t="shared" ref="J22:J29" si="7">+I22*100/D22</f>
        <v>0</v>
      </c>
      <c r="K22" s="48">
        <f>+[24]สรุป!J8</f>
        <v>0</v>
      </c>
      <c r="L22" s="48">
        <f t="shared" ref="L22:L29" si="8">+K22*100/D22</f>
        <v>0</v>
      </c>
      <c r="M22" s="48">
        <f t="shared" ref="M22:M31" si="9">+E22+G22+I22+K22</f>
        <v>0</v>
      </c>
      <c r="N22" s="48">
        <f t="shared" ref="N22:N31" si="10">+M22*100/D22</f>
        <v>0</v>
      </c>
      <c r="O22" s="48">
        <f t="shared" ref="O22:O31" si="11">+D22-M22</f>
        <v>55900</v>
      </c>
      <c r="P22" s="48">
        <f t="shared" ref="P22:P31" si="12">+O22*100/D22</f>
        <v>100</v>
      </c>
      <c r="Q22" s="48">
        <f t="shared" ref="Q22:Q31" si="13">+C22-M22</f>
        <v>250000</v>
      </c>
      <c r="R22" s="48">
        <f t="shared" si="6"/>
        <v>100</v>
      </c>
      <c r="S22" s="2"/>
      <c r="T22" s="2"/>
    </row>
    <row r="23" spans="1:20" s="37" customFormat="1" ht="21">
      <c r="A23" s="1083" t="s">
        <v>403</v>
      </c>
      <c r="B23" s="1083"/>
      <c r="C23" s="49">
        <f>SUM(C24:C27)</f>
        <v>1000000</v>
      </c>
      <c r="D23" s="49">
        <f t="shared" ref="D23:M23" si="14">SUM(D24:D27)</f>
        <v>388500</v>
      </c>
      <c r="E23" s="49">
        <f t="shared" si="14"/>
        <v>0</v>
      </c>
      <c r="F23" s="49">
        <f t="shared" si="14"/>
        <v>0</v>
      </c>
      <c r="G23" s="49">
        <f t="shared" si="14"/>
        <v>0</v>
      </c>
      <c r="H23" s="49">
        <f t="shared" si="5"/>
        <v>0</v>
      </c>
      <c r="I23" s="49">
        <f t="shared" si="14"/>
        <v>0</v>
      </c>
      <c r="J23" s="49">
        <f t="shared" si="7"/>
        <v>0</v>
      </c>
      <c r="K23" s="49">
        <f t="shared" si="14"/>
        <v>88990.31</v>
      </c>
      <c r="L23" s="49">
        <f t="shared" si="8"/>
        <v>22.906128700128701</v>
      </c>
      <c r="M23" s="49">
        <f t="shared" si="14"/>
        <v>88990.31</v>
      </c>
      <c r="N23" s="49">
        <f t="shared" si="10"/>
        <v>22.906128700128701</v>
      </c>
      <c r="O23" s="49">
        <f>+D23-M23</f>
        <v>299509.69</v>
      </c>
      <c r="P23" s="49">
        <f t="shared" si="12"/>
        <v>77.093871299871296</v>
      </c>
      <c r="Q23" s="49">
        <f>+C23-M23</f>
        <v>911009.69</v>
      </c>
      <c r="R23" s="49">
        <f t="shared" si="6"/>
        <v>91.100969000000006</v>
      </c>
      <c r="S23" s="2"/>
      <c r="T23" s="2"/>
    </row>
    <row r="24" spans="1:20" ht="21">
      <c r="A24" s="41"/>
      <c r="B24" s="51" t="s">
        <v>78</v>
      </c>
      <c r="C24" s="48">
        <f>+[24]สรุป!D11</f>
        <v>300000</v>
      </c>
      <c r="D24" s="48">
        <f>+[24]สรุป!G11</f>
        <v>92900</v>
      </c>
      <c r="E24" s="48"/>
      <c r="F24" s="48"/>
      <c r="G24" s="48">
        <f>+[24]สรุป!H11</f>
        <v>0</v>
      </c>
      <c r="H24" s="48">
        <f t="shared" ref="H24:H29" si="15">+G24*100/D24</f>
        <v>0</v>
      </c>
      <c r="I24" s="48">
        <f>+[24]สรุป!I11</f>
        <v>0</v>
      </c>
      <c r="J24" s="48">
        <f t="shared" si="7"/>
        <v>0</v>
      </c>
      <c r="K24" s="48">
        <f>+[24]สรุป!J11</f>
        <v>7300</v>
      </c>
      <c r="L24" s="48">
        <f t="shared" si="8"/>
        <v>7.8579117330462864</v>
      </c>
      <c r="M24" s="48">
        <f t="shared" si="9"/>
        <v>7300</v>
      </c>
      <c r="N24" s="48">
        <f t="shared" si="10"/>
        <v>7.8579117330462864</v>
      </c>
      <c r="O24" s="48">
        <f t="shared" si="11"/>
        <v>85600</v>
      </c>
      <c r="P24" s="48">
        <f t="shared" si="12"/>
        <v>92.142088266953721</v>
      </c>
      <c r="Q24" s="48">
        <f t="shared" si="13"/>
        <v>292700</v>
      </c>
      <c r="R24" s="48">
        <f t="shared" ref="R24:R31" si="16">+Q24*100/C24</f>
        <v>97.566666666666663</v>
      </c>
      <c r="S24" s="2"/>
      <c r="T24" s="2"/>
    </row>
    <row r="25" spans="1:20" ht="21">
      <c r="A25" s="41"/>
      <c r="B25" s="51" t="s">
        <v>93</v>
      </c>
      <c r="C25" s="48">
        <f>+[24]สรุป!D12</f>
        <v>294000</v>
      </c>
      <c r="D25" s="48">
        <f>+[24]สรุป!G12</f>
        <v>240600</v>
      </c>
      <c r="E25" s="48"/>
      <c r="F25" s="48"/>
      <c r="G25" s="48">
        <f>+[24]สรุป!H12</f>
        <v>0</v>
      </c>
      <c r="H25" s="48">
        <f t="shared" ref="H25:H28" si="17">+G25*100/D25</f>
        <v>0</v>
      </c>
      <c r="I25" s="48">
        <f>+[24]สรุป!I12</f>
        <v>0</v>
      </c>
      <c r="J25" s="48">
        <f t="shared" ref="J25:J28" si="18">+I25*100/D25</f>
        <v>0</v>
      </c>
      <c r="K25" s="48">
        <f>+[24]สรุป!J12</f>
        <v>81690.31</v>
      </c>
      <c r="L25" s="48">
        <f t="shared" ref="L25:L28" si="19">+K25*100/D25</f>
        <v>33.952747298420618</v>
      </c>
      <c r="M25" s="48">
        <f t="shared" si="9"/>
        <v>81690.31</v>
      </c>
      <c r="N25" s="48">
        <f t="shared" si="10"/>
        <v>33.952747298420618</v>
      </c>
      <c r="O25" s="48">
        <f t="shared" si="11"/>
        <v>158909.69</v>
      </c>
      <c r="P25" s="48">
        <f t="shared" si="12"/>
        <v>66.047252701579382</v>
      </c>
      <c r="Q25" s="48">
        <f t="shared" si="13"/>
        <v>212309.69</v>
      </c>
      <c r="R25" s="48">
        <f t="shared" si="16"/>
        <v>72.214180272108848</v>
      </c>
      <c r="S25" s="2"/>
      <c r="T25" s="2"/>
    </row>
    <row r="26" spans="1:20" ht="21">
      <c r="A26" s="41"/>
      <c r="B26" s="51" t="s">
        <v>85</v>
      </c>
      <c r="C26" s="48">
        <f>+[24]สรุป!D13</f>
        <v>150000</v>
      </c>
      <c r="D26" s="48">
        <f>+[24]สรุป!G13</f>
        <v>0</v>
      </c>
      <c r="E26" s="48"/>
      <c r="F26" s="48"/>
      <c r="G26" s="48">
        <f>+[24]สรุป!H13</f>
        <v>0</v>
      </c>
      <c r="H26" s="48">
        <v>0</v>
      </c>
      <c r="I26" s="48">
        <f>+[24]สรุป!I13</f>
        <v>0</v>
      </c>
      <c r="J26" s="48">
        <v>0</v>
      </c>
      <c r="K26" s="48">
        <f>+[24]สรุป!J13</f>
        <v>0</v>
      </c>
      <c r="L26" s="48">
        <v>0</v>
      </c>
      <c r="M26" s="48">
        <f t="shared" si="9"/>
        <v>0</v>
      </c>
      <c r="N26" s="48">
        <v>0</v>
      </c>
      <c r="O26" s="48">
        <f t="shared" si="11"/>
        <v>0</v>
      </c>
      <c r="P26" s="48">
        <v>0</v>
      </c>
      <c r="Q26" s="48">
        <f t="shared" si="13"/>
        <v>150000</v>
      </c>
      <c r="R26" s="48">
        <f t="shared" si="16"/>
        <v>100</v>
      </c>
      <c r="S26" s="2"/>
      <c r="T26" s="2"/>
    </row>
    <row r="27" spans="1:20" ht="21">
      <c r="A27" s="41"/>
      <c r="B27" s="51" t="s">
        <v>312</v>
      </c>
      <c r="C27" s="48">
        <f>+[24]สรุป!D14</f>
        <v>256000</v>
      </c>
      <c r="D27" s="48">
        <f>+[24]สรุป!G14</f>
        <v>55000</v>
      </c>
      <c r="E27" s="48"/>
      <c r="F27" s="48"/>
      <c r="G27" s="48">
        <f>+[24]สรุป!H14</f>
        <v>0</v>
      </c>
      <c r="H27" s="48">
        <f t="shared" si="17"/>
        <v>0</v>
      </c>
      <c r="I27" s="48">
        <f>+[24]สรุป!I14</f>
        <v>0</v>
      </c>
      <c r="J27" s="48">
        <f t="shared" si="18"/>
        <v>0</v>
      </c>
      <c r="K27" s="48">
        <f>+[24]สรุป!J14</f>
        <v>0</v>
      </c>
      <c r="L27" s="48">
        <f t="shared" si="19"/>
        <v>0</v>
      </c>
      <c r="M27" s="48">
        <f t="shared" si="9"/>
        <v>0</v>
      </c>
      <c r="N27" s="48">
        <f t="shared" si="10"/>
        <v>0</v>
      </c>
      <c r="O27" s="48">
        <f t="shared" si="11"/>
        <v>55000</v>
      </c>
      <c r="P27" s="48">
        <f t="shared" si="12"/>
        <v>100</v>
      </c>
      <c r="Q27" s="48">
        <f t="shared" si="13"/>
        <v>256000</v>
      </c>
      <c r="R27" s="48">
        <f t="shared" si="16"/>
        <v>100</v>
      </c>
      <c r="S27" s="2"/>
      <c r="T27" s="2"/>
    </row>
    <row r="28" spans="1:20" s="37" customFormat="1" ht="21">
      <c r="A28" s="1083" t="s">
        <v>404</v>
      </c>
      <c r="B28" s="1083"/>
      <c r="C28" s="49">
        <f>SUM(C29:C31,C34)</f>
        <v>1500000</v>
      </c>
      <c r="D28" s="49">
        <f t="shared" ref="D28:M28" si="20">SUM(D29:D31,D34)</f>
        <v>749000</v>
      </c>
      <c r="E28" s="49">
        <f t="shared" si="20"/>
        <v>0</v>
      </c>
      <c r="F28" s="49">
        <f t="shared" si="20"/>
        <v>0</v>
      </c>
      <c r="G28" s="49">
        <f t="shared" si="20"/>
        <v>0</v>
      </c>
      <c r="H28" s="49">
        <f t="shared" si="17"/>
        <v>0</v>
      </c>
      <c r="I28" s="49">
        <f t="shared" si="20"/>
        <v>0</v>
      </c>
      <c r="J28" s="49">
        <f t="shared" si="18"/>
        <v>0</v>
      </c>
      <c r="K28" s="49">
        <f t="shared" si="20"/>
        <v>138471.18999999997</v>
      </c>
      <c r="L28" s="49">
        <f t="shared" si="19"/>
        <v>18.487475300400533</v>
      </c>
      <c r="M28" s="49">
        <f t="shared" si="20"/>
        <v>138471.18999999997</v>
      </c>
      <c r="N28" s="49">
        <f t="shared" si="10"/>
        <v>18.487475300400533</v>
      </c>
      <c r="O28" s="49">
        <f>+D28-M28</f>
        <v>610528.81000000006</v>
      </c>
      <c r="P28" s="49">
        <f t="shared" si="12"/>
        <v>81.512524699599481</v>
      </c>
      <c r="Q28" s="49">
        <f>+C28-M28</f>
        <v>1361528.81</v>
      </c>
      <c r="R28" s="49">
        <f t="shared" si="16"/>
        <v>90.768587333333329</v>
      </c>
      <c r="S28" s="2"/>
      <c r="T28" s="2"/>
    </row>
    <row r="29" spans="1:20" ht="21">
      <c r="A29" s="41"/>
      <c r="B29" s="51" t="s">
        <v>83</v>
      </c>
      <c r="C29" s="48">
        <f>+[24]สรุป!D17</f>
        <v>350000</v>
      </c>
      <c r="D29" s="48">
        <f>+[24]สรุป!G17</f>
        <v>249800</v>
      </c>
      <c r="E29" s="48"/>
      <c r="F29" s="48"/>
      <c r="G29" s="48">
        <f>+[24]สรุป!H17</f>
        <v>0</v>
      </c>
      <c r="H29" s="48">
        <f t="shared" si="15"/>
        <v>0</v>
      </c>
      <c r="I29" s="48">
        <f>+[24]สรุป!I17</f>
        <v>0</v>
      </c>
      <c r="J29" s="48">
        <f t="shared" si="7"/>
        <v>0</v>
      </c>
      <c r="K29" s="48">
        <f>+[24]สรุป!J17</f>
        <v>0</v>
      </c>
      <c r="L29" s="48">
        <f t="shared" si="8"/>
        <v>0</v>
      </c>
      <c r="M29" s="48">
        <f t="shared" si="9"/>
        <v>0</v>
      </c>
      <c r="N29" s="48">
        <f t="shared" si="10"/>
        <v>0</v>
      </c>
      <c r="O29" s="48">
        <f t="shared" si="11"/>
        <v>249800</v>
      </c>
      <c r="P29" s="48">
        <f t="shared" si="12"/>
        <v>100</v>
      </c>
      <c r="Q29" s="48">
        <f t="shared" si="13"/>
        <v>350000</v>
      </c>
      <c r="R29" s="48">
        <f t="shared" si="16"/>
        <v>100</v>
      </c>
      <c r="S29" s="2"/>
      <c r="T29" s="2"/>
    </row>
    <row r="30" spans="1:20" ht="21">
      <c r="A30" s="41"/>
      <c r="B30" s="51" t="s">
        <v>81</v>
      </c>
      <c r="C30" s="48">
        <f>+[24]สรุป!D18</f>
        <v>300000</v>
      </c>
      <c r="D30" s="48">
        <f>+[24]สรุป!G18</f>
        <v>195500</v>
      </c>
      <c r="E30" s="48"/>
      <c r="F30" s="48"/>
      <c r="G30" s="48">
        <f>+[24]สรุป!H18</f>
        <v>0</v>
      </c>
      <c r="H30" s="48">
        <f t="shared" ref="H30:H45" si="21">+G30*100/D30</f>
        <v>0</v>
      </c>
      <c r="I30" s="48">
        <f>+[24]สรุป!I18</f>
        <v>0</v>
      </c>
      <c r="J30" s="48">
        <f t="shared" ref="J30:J33" si="22">+I30*100/D30</f>
        <v>0</v>
      </c>
      <c r="K30" s="48">
        <f>+[24]สรุป!J18</f>
        <v>0</v>
      </c>
      <c r="L30" s="48">
        <f t="shared" ref="L30:L33" si="23">+K30*100/D30</f>
        <v>0</v>
      </c>
      <c r="M30" s="48">
        <f t="shared" si="9"/>
        <v>0</v>
      </c>
      <c r="N30" s="48">
        <f t="shared" si="10"/>
        <v>0</v>
      </c>
      <c r="O30" s="48">
        <f t="shared" si="11"/>
        <v>195500</v>
      </c>
      <c r="P30" s="48">
        <f t="shared" si="12"/>
        <v>100</v>
      </c>
      <c r="Q30" s="48">
        <f t="shared" si="13"/>
        <v>300000</v>
      </c>
      <c r="R30" s="48">
        <f t="shared" si="16"/>
        <v>100</v>
      </c>
      <c r="S30" s="2"/>
      <c r="T30" s="2"/>
    </row>
    <row r="31" spans="1:20" ht="21">
      <c r="A31" s="41"/>
      <c r="B31" s="51" t="s">
        <v>200</v>
      </c>
      <c r="C31" s="48">
        <f>+[24]สรุป!D19</f>
        <v>400000</v>
      </c>
      <c r="D31" s="48">
        <f>+[24]สรุป!G19</f>
        <v>303700</v>
      </c>
      <c r="E31" s="48"/>
      <c r="F31" s="48"/>
      <c r="G31" s="48">
        <f>+[24]สรุป!H19</f>
        <v>0</v>
      </c>
      <c r="H31" s="48">
        <f t="shared" si="21"/>
        <v>0</v>
      </c>
      <c r="I31" s="48">
        <f>+[24]สรุป!I19</f>
        <v>0</v>
      </c>
      <c r="J31" s="48">
        <f t="shared" si="22"/>
        <v>0</v>
      </c>
      <c r="K31" s="48">
        <f>+[24]สรุป!J19</f>
        <v>0</v>
      </c>
      <c r="L31" s="48">
        <f t="shared" si="23"/>
        <v>0</v>
      </c>
      <c r="M31" s="48">
        <f t="shared" si="9"/>
        <v>0</v>
      </c>
      <c r="N31" s="48">
        <f t="shared" si="10"/>
        <v>0</v>
      </c>
      <c r="O31" s="48">
        <f t="shared" si="11"/>
        <v>303700</v>
      </c>
      <c r="P31" s="48">
        <f t="shared" si="12"/>
        <v>100</v>
      </c>
      <c r="Q31" s="48">
        <f t="shared" si="13"/>
        <v>400000</v>
      </c>
      <c r="R31" s="48">
        <f t="shared" si="16"/>
        <v>100</v>
      </c>
      <c r="S31" s="2"/>
      <c r="T31" s="2"/>
    </row>
    <row r="32" spans="1:20" ht="21">
      <c r="A32" s="41"/>
      <c r="B32" s="51" t="s">
        <v>313</v>
      </c>
      <c r="C32" s="48">
        <f>+[24]สรุป!D20</f>
        <v>250000</v>
      </c>
      <c r="D32" s="48">
        <f>+[24]สรุป!G20</f>
        <v>153700</v>
      </c>
      <c r="E32" s="48"/>
      <c r="F32" s="48"/>
      <c r="G32" s="48">
        <f>+[24]สรุป!H20</f>
        <v>0</v>
      </c>
      <c r="H32" s="48">
        <f t="shared" si="21"/>
        <v>0</v>
      </c>
      <c r="I32" s="48">
        <f>+[24]สรุป!I20</f>
        <v>0</v>
      </c>
      <c r="J32" s="48">
        <f t="shared" si="22"/>
        <v>0</v>
      </c>
      <c r="K32" s="48">
        <f>+[24]สรุป!J20</f>
        <v>0</v>
      </c>
      <c r="L32" s="48">
        <f t="shared" si="23"/>
        <v>0</v>
      </c>
      <c r="M32" s="48">
        <f t="shared" ref="M32:M34" si="24">+E32+G32+I32+K32</f>
        <v>0</v>
      </c>
      <c r="N32" s="48">
        <f t="shared" ref="N32:N33" si="25">+M32*100/D32</f>
        <v>0</v>
      </c>
      <c r="O32" s="48">
        <f t="shared" ref="O32:O34" si="26">+D32-M32</f>
        <v>153700</v>
      </c>
      <c r="P32" s="48">
        <f t="shared" ref="P32:P35" si="27">+O32*100/D32</f>
        <v>100</v>
      </c>
      <c r="Q32" s="48">
        <f t="shared" ref="Q32:Q34" si="28">+C32-M32</f>
        <v>250000</v>
      </c>
      <c r="R32" s="48">
        <f t="shared" ref="R32:R45" si="29">+Q32*100/C32</f>
        <v>100</v>
      </c>
      <c r="S32" s="2"/>
      <c r="T32" s="2"/>
    </row>
    <row r="33" spans="1:25" ht="21">
      <c r="A33" s="41"/>
      <c r="B33" s="51" t="s">
        <v>314</v>
      </c>
      <c r="C33" s="48">
        <f>+[24]สรุป!D21</f>
        <v>150000</v>
      </c>
      <c r="D33" s="48">
        <f>+[24]สรุป!G21</f>
        <v>150000</v>
      </c>
      <c r="E33" s="48"/>
      <c r="F33" s="48"/>
      <c r="G33" s="48">
        <f>+[24]สรุป!H21</f>
        <v>0</v>
      </c>
      <c r="H33" s="48">
        <f t="shared" si="21"/>
        <v>0</v>
      </c>
      <c r="I33" s="48">
        <f>+[24]สรุป!I21</f>
        <v>0</v>
      </c>
      <c r="J33" s="48">
        <f t="shared" si="22"/>
        <v>0</v>
      </c>
      <c r="K33" s="48">
        <f>+[24]สรุป!J21</f>
        <v>0</v>
      </c>
      <c r="L33" s="48">
        <f t="shared" si="23"/>
        <v>0</v>
      </c>
      <c r="M33" s="48">
        <f t="shared" si="24"/>
        <v>0</v>
      </c>
      <c r="N33" s="48">
        <f t="shared" si="25"/>
        <v>0</v>
      </c>
      <c r="O33" s="48">
        <f t="shared" si="26"/>
        <v>150000</v>
      </c>
      <c r="P33" s="48">
        <f t="shared" si="27"/>
        <v>100</v>
      </c>
      <c r="Q33" s="48">
        <f t="shared" si="28"/>
        <v>150000</v>
      </c>
      <c r="R33" s="48">
        <f t="shared" si="29"/>
        <v>100</v>
      </c>
      <c r="S33" s="2"/>
      <c r="T33" s="2"/>
    </row>
    <row r="34" spans="1:25" ht="21">
      <c r="A34" s="41"/>
      <c r="B34" s="51" t="s">
        <v>312</v>
      </c>
      <c r="C34" s="48">
        <f>+[24]สรุป!D22</f>
        <v>450000</v>
      </c>
      <c r="D34" s="48">
        <f>+[24]สรุป!G22</f>
        <v>0</v>
      </c>
      <c r="E34" s="48"/>
      <c r="F34" s="48"/>
      <c r="G34" s="48">
        <f>+[24]สรุป!H22</f>
        <v>0</v>
      </c>
      <c r="H34" s="48">
        <v>0</v>
      </c>
      <c r="I34" s="48">
        <f>+[24]สรุป!I22</f>
        <v>0</v>
      </c>
      <c r="J34" s="48">
        <v>0</v>
      </c>
      <c r="K34" s="48">
        <f>+[24]สรุป!J22</f>
        <v>138471.18999999997</v>
      </c>
      <c r="L34" s="48">
        <v>0</v>
      </c>
      <c r="M34" s="48">
        <f t="shared" si="24"/>
        <v>138471.18999999997</v>
      </c>
      <c r="N34" s="48">
        <v>0</v>
      </c>
      <c r="O34" s="48">
        <f t="shared" si="26"/>
        <v>-138471.18999999997</v>
      </c>
      <c r="P34" s="48">
        <v>0</v>
      </c>
      <c r="Q34" s="48">
        <f t="shared" si="28"/>
        <v>311528.81000000006</v>
      </c>
      <c r="R34" s="48">
        <f t="shared" si="29"/>
        <v>69.228624444444463</v>
      </c>
      <c r="S34" s="2"/>
      <c r="T34" s="2"/>
    </row>
    <row r="35" spans="1:25" s="218" customFormat="1" ht="24" customHeight="1" thickBot="1">
      <c r="A35" s="1006" t="s">
        <v>11</v>
      </c>
      <c r="B35" s="1007"/>
      <c r="C35" s="43">
        <f>+C19+C23+C28</f>
        <v>4000000</v>
      </c>
      <c r="D35" s="43">
        <f>+D19+D23+D28</f>
        <v>2000000</v>
      </c>
      <c r="E35" s="43"/>
      <c r="F35" s="43"/>
      <c r="G35" s="43">
        <f>+G19+G23+G28</f>
        <v>0</v>
      </c>
      <c r="H35" s="43">
        <f t="shared" si="21"/>
        <v>0</v>
      </c>
      <c r="I35" s="43">
        <f>+I19+I23+I28</f>
        <v>1000</v>
      </c>
      <c r="J35" s="43">
        <f>+I35*100/D35</f>
        <v>0.05</v>
      </c>
      <c r="K35" s="43">
        <f>+K19+K23+K28</f>
        <v>227461.49999999997</v>
      </c>
      <c r="L35" s="43">
        <f>+K35*100/D35</f>
        <v>11.373074999999998</v>
      </c>
      <c r="M35" s="43">
        <f>+M19+M23+M28</f>
        <v>228461.49999999997</v>
      </c>
      <c r="N35" s="43">
        <f>+M35*100/D35</f>
        <v>11.423074999999999</v>
      </c>
      <c r="O35" s="43">
        <f>+O19+O23+O28</f>
        <v>1771538.5</v>
      </c>
      <c r="P35" s="43">
        <f t="shared" si="27"/>
        <v>88.576925000000003</v>
      </c>
      <c r="Q35" s="43">
        <f>+Q19+Q23+Q28</f>
        <v>3771538.5</v>
      </c>
      <c r="R35" s="43">
        <f t="shared" si="29"/>
        <v>94.288462499999994</v>
      </c>
      <c r="S35" s="2"/>
      <c r="T35" s="2"/>
    </row>
    <row r="36" spans="1:25" s="218" customFormat="1" ht="24" customHeight="1" thickTop="1">
      <c r="A36" s="242"/>
      <c r="B36" s="242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"/>
      <c r="T36" s="2"/>
    </row>
    <row r="37" spans="1:25" s="55" customFormat="1" ht="21">
      <c r="A37" s="215" t="s">
        <v>430</v>
      </c>
      <c r="B37" s="53"/>
      <c r="C37" s="245" t="s">
        <v>191</v>
      </c>
      <c r="D37" s="245" t="s">
        <v>192</v>
      </c>
      <c r="E37" s="245" t="s">
        <v>193</v>
      </c>
      <c r="F37" s="245"/>
      <c r="G37" s="245" t="s">
        <v>194</v>
      </c>
      <c r="H37" s="245"/>
      <c r="I37" s="245" t="s">
        <v>195</v>
      </c>
      <c r="J37" s="245"/>
      <c r="K37" s="245" t="s">
        <v>196</v>
      </c>
      <c r="L37" s="245"/>
      <c r="M37" s="1054" t="s">
        <v>197</v>
      </c>
      <c r="N37" s="1054"/>
      <c r="O37" s="245" t="s">
        <v>198</v>
      </c>
      <c r="P37" s="245"/>
      <c r="Q37" s="245" t="s">
        <v>199</v>
      </c>
      <c r="R37" s="53"/>
      <c r="S37" s="2"/>
      <c r="T37" s="2"/>
      <c r="U37" s="54"/>
      <c r="V37" s="54"/>
      <c r="W37" s="54"/>
      <c r="X37" s="54"/>
      <c r="Y37" s="58"/>
    </row>
    <row r="38" spans="1:25" s="36" customFormat="1" ht="21" customHeight="1">
      <c r="A38" s="1081" t="s">
        <v>106</v>
      </c>
      <c r="B38" s="1082" t="s">
        <v>167</v>
      </c>
      <c r="C38" s="1059" t="s">
        <v>118</v>
      </c>
      <c r="D38" s="1059" t="s">
        <v>131</v>
      </c>
      <c r="E38" s="1027" t="s">
        <v>5</v>
      </c>
      <c r="F38" s="1027"/>
      <c r="G38" s="1028" t="s">
        <v>6</v>
      </c>
      <c r="H38" s="1028"/>
      <c r="I38" s="1017" t="s">
        <v>311</v>
      </c>
      <c r="J38" s="1017"/>
      <c r="K38" s="1018" t="s">
        <v>127</v>
      </c>
      <c r="L38" s="1018"/>
      <c r="M38" s="1093" t="s">
        <v>121</v>
      </c>
      <c r="N38" s="1093"/>
      <c r="O38" s="1008" t="s">
        <v>128</v>
      </c>
      <c r="P38" s="1008"/>
      <c r="Q38" s="1008" t="s">
        <v>129</v>
      </c>
      <c r="R38" s="1008"/>
      <c r="S38" s="2"/>
      <c r="T38" s="2"/>
    </row>
    <row r="39" spans="1:25" s="36" customFormat="1" ht="21">
      <c r="A39" s="1081"/>
      <c r="B39" s="1082"/>
      <c r="C39" s="1059"/>
      <c r="D39" s="1059"/>
      <c r="E39" s="246" t="s">
        <v>119</v>
      </c>
      <c r="F39" s="246" t="s">
        <v>124</v>
      </c>
      <c r="G39" s="246" t="s">
        <v>119</v>
      </c>
      <c r="H39" s="246" t="s">
        <v>124</v>
      </c>
      <c r="I39" s="246" t="s">
        <v>119</v>
      </c>
      <c r="J39" s="246" t="s">
        <v>124</v>
      </c>
      <c r="K39" s="246" t="s">
        <v>119</v>
      </c>
      <c r="L39" s="246" t="s">
        <v>124</v>
      </c>
      <c r="M39" s="246" t="s">
        <v>119</v>
      </c>
      <c r="N39" s="246" t="s">
        <v>124</v>
      </c>
      <c r="O39" s="246" t="s">
        <v>119</v>
      </c>
      <c r="P39" s="246" t="s">
        <v>124</v>
      </c>
      <c r="Q39" s="246" t="s">
        <v>119</v>
      </c>
      <c r="R39" s="246" t="s">
        <v>124</v>
      </c>
      <c r="S39" s="2"/>
      <c r="T39" s="2"/>
    </row>
    <row r="40" spans="1:25" s="37" customFormat="1" ht="21">
      <c r="A40" s="1083" t="s">
        <v>402</v>
      </c>
      <c r="B40" s="1083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2"/>
      <c r="T40" s="2"/>
    </row>
    <row r="41" spans="1:25" s="1" customFormat="1" ht="21">
      <c r="A41" s="41">
        <v>1</v>
      </c>
      <c r="B41" s="51" t="s">
        <v>84</v>
      </c>
      <c r="C41" s="48">
        <f>+ถอนคืนรายได้แผ่นดิน!C8</f>
        <v>15000</v>
      </c>
      <c r="D41" s="48">
        <f>+ถอนคืนรายได้แผ่นดิน!D8</f>
        <v>15000</v>
      </c>
      <c r="E41" s="48">
        <f>+ถอนคืนรายได้แผ่นดิน!E8</f>
        <v>0</v>
      </c>
      <c r="F41" s="48">
        <f>+ถอนคืนรายได้แผ่นดิน!F8</f>
        <v>0</v>
      </c>
      <c r="G41" s="48">
        <f>+ถอนคืนรายได้แผ่นดิน!G8</f>
        <v>0</v>
      </c>
      <c r="H41" s="48">
        <f>+ถอนคืนรายได้แผ่นดิน!H8</f>
        <v>0</v>
      </c>
      <c r="I41" s="48">
        <f>+ถอนคืนรายได้แผ่นดิน!I8</f>
        <v>0</v>
      </c>
      <c r="J41" s="48">
        <f>+ถอนคืนรายได้แผ่นดิน!J8</f>
        <v>0</v>
      </c>
      <c r="K41" s="48">
        <f>+ถอนคืนรายได้แผ่นดิน!K8</f>
        <v>15000</v>
      </c>
      <c r="L41" s="48">
        <f>+ถอนคืนรายได้แผ่นดิน!L8</f>
        <v>100</v>
      </c>
      <c r="M41" s="48">
        <f>+E41+G41+I41+K41</f>
        <v>15000</v>
      </c>
      <c r="N41" s="48">
        <f>+M41*100/D41</f>
        <v>100</v>
      </c>
      <c r="O41" s="48">
        <f>+D41-M41</f>
        <v>0</v>
      </c>
      <c r="P41" s="48">
        <f>+O41*100/D41</f>
        <v>0</v>
      </c>
      <c r="Q41" s="48">
        <f>+C41-M41</f>
        <v>0</v>
      </c>
      <c r="R41" s="48">
        <f>+Q41*100/C41</f>
        <v>0</v>
      </c>
      <c r="S41" s="2"/>
      <c r="T41" s="2"/>
    </row>
    <row r="42" spans="1:25" s="218" customFormat="1" ht="24" customHeight="1" thickBot="1">
      <c r="A42" s="1006" t="s">
        <v>11</v>
      </c>
      <c r="B42" s="1007"/>
      <c r="C42" s="43">
        <f>+C41</f>
        <v>15000</v>
      </c>
      <c r="D42" s="43">
        <f t="shared" ref="D42:Q42" si="30">+D41</f>
        <v>15000</v>
      </c>
      <c r="E42" s="43">
        <f t="shared" si="30"/>
        <v>0</v>
      </c>
      <c r="F42" s="43">
        <f t="shared" si="30"/>
        <v>0</v>
      </c>
      <c r="G42" s="43">
        <f t="shared" si="30"/>
        <v>0</v>
      </c>
      <c r="H42" s="43">
        <f t="shared" si="21"/>
        <v>0</v>
      </c>
      <c r="I42" s="43">
        <f t="shared" si="30"/>
        <v>0</v>
      </c>
      <c r="J42" s="253">
        <f>+ถอนคืนรายได้แผ่นดิน!J9</f>
        <v>0</v>
      </c>
      <c r="K42" s="43">
        <f t="shared" si="30"/>
        <v>15000</v>
      </c>
      <c r="L42" s="43">
        <f>+K42*100/D42</f>
        <v>100</v>
      </c>
      <c r="M42" s="43">
        <f t="shared" si="30"/>
        <v>15000</v>
      </c>
      <c r="N42" s="43">
        <f>+M42*100/D42</f>
        <v>100</v>
      </c>
      <c r="O42" s="43">
        <f t="shared" si="30"/>
        <v>0</v>
      </c>
      <c r="P42" s="43">
        <f t="shared" ref="P42" si="31">+O42*100/D42</f>
        <v>0</v>
      </c>
      <c r="Q42" s="43">
        <f t="shared" si="30"/>
        <v>0</v>
      </c>
      <c r="R42" s="43">
        <f t="shared" ref="R42" si="32">+Q42*100/C42</f>
        <v>0</v>
      </c>
      <c r="S42" s="2"/>
      <c r="T42" s="2"/>
    </row>
    <row r="43" spans="1:25" s="1" customFormat="1" ht="21.75" thickTop="1">
      <c r="A43" s="251"/>
      <c r="B43" s="252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"/>
      <c r="T43" s="2"/>
    </row>
    <row r="44" spans="1:25" s="57" customFormat="1" ht="21">
      <c r="H44" s="219"/>
      <c r="J44" s="219"/>
      <c r="L44" s="219"/>
      <c r="N44" s="219"/>
      <c r="R44" s="220"/>
      <c r="S44" s="2"/>
      <c r="T44" s="2"/>
    </row>
    <row r="45" spans="1:25" s="218" customFormat="1" ht="24" customHeight="1" thickBot="1">
      <c r="A45" s="1006" t="s">
        <v>405</v>
      </c>
      <c r="B45" s="1007"/>
      <c r="C45" s="43">
        <f>+C10+C35+C42</f>
        <v>22598136</v>
      </c>
      <c r="D45" s="43">
        <f>+D10+D35+D42</f>
        <v>10248136</v>
      </c>
      <c r="E45" s="43">
        <f>+E10+E35+E42</f>
        <v>0</v>
      </c>
      <c r="F45" s="43">
        <f>+F10+F35</f>
        <v>0</v>
      </c>
      <c r="G45" s="43">
        <f>+G10+G35+G42</f>
        <v>47306.5</v>
      </c>
      <c r="H45" s="43">
        <f t="shared" si="21"/>
        <v>0.46161077487652391</v>
      </c>
      <c r="I45" s="43">
        <f>+I10+I35+I42</f>
        <v>1000</v>
      </c>
      <c r="J45" s="43">
        <f t="shared" ref="J45" si="33">+I45*100/D45</f>
        <v>9.7578720657102904E-3</v>
      </c>
      <c r="K45" s="43">
        <f>+K10+K35+K42</f>
        <v>3214413.5</v>
      </c>
      <c r="L45" s="43">
        <f t="shared" ref="L45" si="34">+K45*100/D45</f>
        <v>31.365835699292045</v>
      </c>
      <c r="M45" s="43">
        <f>+M10+M35+M42</f>
        <v>3262720</v>
      </c>
      <c r="N45" s="43">
        <f t="shared" ref="N45" si="35">+M45*100/D45</f>
        <v>31.83720434623428</v>
      </c>
      <c r="O45" s="43">
        <f>+O10+O35+O42</f>
        <v>6985416</v>
      </c>
      <c r="P45" s="43">
        <f t="shared" ref="P45" si="36">+O45*100/D45</f>
        <v>68.162795653765713</v>
      </c>
      <c r="Q45" s="43">
        <f>+Q10+Q35+Q42</f>
        <v>19335416</v>
      </c>
      <c r="R45" s="43">
        <f t="shared" si="29"/>
        <v>85.561995024722393</v>
      </c>
      <c r="S45" s="2"/>
      <c r="T45" s="2"/>
    </row>
    <row r="46" spans="1:25" ht="15" thickTop="1"/>
  </sheetData>
  <mergeCells count="47">
    <mergeCell ref="M38:N38"/>
    <mergeCell ref="O38:P38"/>
    <mergeCell ref="Q38:R38"/>
    <mergeCell ref="A40:B40"/>
    <mergeCell ref="A42:B42"/>
    <mergeCell ref="A45:B45"/>
    <mergeCell ref="O17:P17"/>
    <mergeCell ref="Q17:R17"/>
    <mergeCell ref="A19:B19"/>
    <mergeCell ref="A23:B23"/>
    <mergeCell ref="A28:B28"/>
    <mergeCell ref="A35:B35"/>
    <mergeCell ref="M37:N37"/>
    <mergeCell ref="A38:A39"/>
    <mergeCell ref="B38:B39"/>
    <mergeCell ref="C38:C39"/>
    <mergeCell ref="D38:D39"/>
    <mergeCell ref="E38:F38"/>
    <mergeCell ref="G38:H38"/>
    <mergeCell ref="I38:J38"/>
    <mergeCell ref="K38:L38"/>
    <mergeCell ref="M16:N16"/>
    <mergeCell ref="A17:A18"/>
    <mergeCell ref="B17:B18"/>
    <mergeCell ref="C17:C18"/>
    <mergeCell ref="D17:D18"/>
    <mergeCell ref="E17:F17"/>
    <mergeCell ref="G17:H17"/>
    <mergeCell ref="I17:J17"/>
    <mergeCell ref="K17:L17"/>
    <mergeCell ref="M17:N17"/>
    <mergeCell ref="O5:P5"/>
    <mergeCell ref="Q5:R5"/>
    <mergeCell ref="A7:B7"/>
    <mergeCell ref="A1:R1"/>
    <mergeCell ref="A2:R2"/>
    <mergeCell ref="A3:R3"/>
    <mergeCell ref="M4:N4"/>
    <mergeCell ref="A5:A6"/>
    <mergeCell ref="B5:B6"/>
    <mergeCell ref="C5:C6"/>
    <mergeCell ref="D5:D6"/>
    <mergeCell ref="E5:F5"/>
    <mergeCell ref="G5:H5"/>
    <mergeCell ref="I5:J5"/>
    <mergeCell ref="K5:L5"/>
    <mergeCell ref="M5:N5"/>
  </mergeCells>
  <pageMargins left="0.23622047244094491" right="0.15748031496062992" top="0.27559055118110237" bottom="0.35433070866141736" header="0.19685039370078741" footer="0.31496062992125984"/>
  <pageSetup paperSize="9" scale="7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72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J55" sqref="J55"/>
    </sheetView>
  </sheetViews>
  <sheetFormatPr defaultRowHeight="21"/>
  <cols>
    <col min="1" max="1" width="9" style="135"/>
    <col min="2" max="2" width="36.125" style="121" customWidth="1"/>
    <col min="3" max="3" width="10.25" style="121" customWidth="1"/>
    <col min="4" max="4" width="13" style="121" customWidth="1"/>
    <col min="5" max="5" width="15.125" style="121" customWidth="1"/>
    <col min="6" max="6" width="12.125" style="121" customWidth="1"/>
    <col min="7" max="7" width="14.125" style="121" customWidth="1"/>
    <col min="8" max="8" width="14.5" style="121" customWidth="1"/>
    <col min="9" max="9" width="13.875" style="121" customWidth="1"/>
    <col min="10" max="10" width="14.25" style="121" customWidth="1"/>
    <col min="11" max="11" width="14.375" style="121" customWidth="1"/>
    <col min="12" max="16384" width="9" style="121"/>
  </cols>
  <sheetData>
    <row r="1" spans="1:11">
      <c r="A1" s="1094" t="s">
        <v>189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</row>
    <row r="2" spans="1:11">
      <c r="A2" s="1095" t="s">
        <v>400</v>
      </c>
      <c r="B2" s="1095"/>
      <c r="C2" s="1095"/>
      <c r="D2" s="1095"/>
      <c r="E2" s="1095"/>
      <c r="F2" s="1095"/>
      <c r="G2" s="1095"/>
      <c r="H2" s="1095"/>
      <c r="I2" s="1095"/>
      <c r="J2" s="1095"/>
      <c r="K2" s="1095"/>
    </row>
    <row r="3" spans="1:11">
      <c r="A3" s="1096" t="str">
        <f>+งบดำเนินงาน!A3</f>
        <v>ตั้งแต่วันที่ 1 ตุลาคม 2565 - 31 ธันวาคม 2565</v>
      </c>
      <c r="B3" s="1096"/>
      <c r="C3" s="1096"/>
      <c r="D3" s="1096"/>
      <c r="E3" s="1096"/>
      <c r="F3" s="1096"/>
      <c r="G3" s="1096"/>
      <c r="H3" s="1096"/>
      <c r="I3" s="1096"/>
      <c r="J3" s="1096"/>
      <c r="K3" s="1096"/>
    </row>
    <row r="4" spans="1:11">
      <c r="A4" s="129"/>
      <c r="B4" s="118"/>
      <c r="C4" s="118"/>
      <c r="D4" s="118" t="s">
        <v>191</v>
      </c>
      <c r="E4" s="118" t="s">
        <v>192</v>
      </c>
      <c r="F4" s="118" t="s">
        <v>193</v>
      </c>
      <c r="G4" s="118" t="s">
        <v>194</v>
      </c>
      <c r="H4" s="118" t="s">
        <v>195</v>
      </c>
      <c r="I4" s="118" t="s">
        <v>319</v>
      </c>
      <c r="J4" s="118" t="s">
        <v>318</v>
      </c>
      <c r="K4" s="118" t="s">
        <v>320</v>
      </c>
    </row>
    <row r="5" spans="1:11" ht="42">
      <c r="A5" s="130" t="s">
        <v>202</v>
      </c>
      <c r="B5" s="116" t="s">
        <v>315</v>
      </c>
      <c r="C5" s="116" t="s">
        <v>167</v>
      </c>
      <c r="D5" s="117" t="s">
        <v>203</v>
      </c>
      <c r="E5" s="116" t="s">
        <v>120</v>
      </c>
      <c r="F5" s="116" t="s">
        <v>310</v>
      </c>
      <c r="G5" s="116" t="s">
        <v>311</v>
      </c>
      <c r="H5" s="116" t="s">
        <v>8</v>
      </c>
      <c r="I5" s="116" t="s">
        <v>121</v>
      </c>
      <c r="J5" s="117" t="s">
        <v>316</v>
      </c>
      <c r="K5" s="117" t="s">
        <v>317</v>
      </c>
    </row>
    <row r="6" spans="1:11">
      <c r="A6" s="131" t="s">
        <v>321</v>
      </c>
      <c r="B6" s="119"/>
      <c r="C6" s="120"/>
      <c r="D6" s="120"/>
      <c r="E6" s="120"/>
      <c r="F6" s="120"/>
      <c r="G6" s="120"/>
      <c r="H6" s="120"/>
      <c r="I6" s="120"/>
      <c r="J6" s="120"/>
      <c r="K6" s="120"/>
    </row>
    <row r="7" spans="1:11" ht="42">
      <c r="A7" s="132">
        <v>1</v>
      </c>
      <c r="B7" s="124" t="s">
        <v>322</v>
      </c>
      <c r="C7" s="144" t="s">
        <v>376</v>
      </c>
      <c r="D7" s="138">
        <f>+'[24]แผน ตปท'!$Z$13</f>
        <v>134400</v>
      </c>
      <c r="E7" s="138">
        <v>40400</v>
      </c>
      <c r="F7" s="138">
        <f>+'[24]แผน ตปท'!$AI$13</f>
        <v>0</v>
      </c>
      <c r="G7" s="138">
        <f>+'[24]แผน ตปท'!$AJ$13</f>
        <v>0</v>
      </c>
      <c r="H7" s="138">
        <f>+'[24]แผน ตปท'!$AK$13+'[24]แผน ตปท'!$AK$14</f>
        <v>81690.31</v>
      </c>
      <c r="I7" s="138">
        <f>+F7+G7+H7</f>
        <v>81690.31</v>
      </c>
      <c r="J7" s="302">
        <f>+E7-I7</f>
        <v>-41290.31</v>
      </c>
      <c r="K7" s="138">
        <f>+D7-I7</f>
        <v>52709.69</v>
      </c>
    </row>
    <row r="8" spans="1:11" ht="42">
      <c r="A8" s="133">
        <v>2</v>
      </c>
      <c r="B8" s="124" t="s">
        <v>323</v>
      </c>
      <c r="C8" s="144" t="s">
        <v>377</v>
      </c>
      <c r="D8" s="138">
        <f>+'[24]แผน ตปท'!$Z$15</f>
        <v>48500</v>
      </c>
      <c r="E8" s="138">
        <v>48500</v>
      </c>
      <c r="F8" s="138">
        <f>+'[24]แผน ตปท'!$AI$15</f>
        <v>0</v>
      </c>
      <c r="G8" s="138">
        <f>+'[24]แผน ตปท'!$AJ$15</f>
        <v>0</v>
      </c>
      <c r="H8" s="138">
        <f>+'[24]แผน ตปท'!$AK$15</f>
        <v>0</v>
      </c>
      <c r="I8" s="138">
        <f t="shared" ref="I8:I70" si="0">+F8+G8+H8</f>
        <v>0</v>
      </c>
      <c r="J8" s="138">
        <f t="shared" ref="J8:J70" si="1">+E8-I8</f>
        <v>48500</v>
      </c>
      <c r="K8" s="138">
        <f t="shared" ref="K8:K70" si="2">+D8-I8</f>
        <v>48500</v>
      </c>
    </row>
    <row r="9" spans="1:11" ht="42">
      <c r="A9" s="132">
        <v>3</v>
      </c>
      <c r="B9" s="124" t="s">
        <v>324</v>
      </c>
      <c r="C9" s="145" t="s">
        <v>377</v>
      </c>
      <c r="D9" s="138">
        <f>+'[24]แผน ตปท'!$Z$16</f>
        <v>110400</v>
      </c>
      <c r="E9" s="138">
        <v>110400</v>
      </c>
      <c r="F9" s="138">
        <f>+'[24]แผน ตปท'!$AI$16</f>
        <v>0</v>
      </c>
      <c r="G9" s="138">
        <f>+'[24]แผน ตปท'!$AJ$16</f>
        <v>0</v>
      </c>
      <c r="H9" s="138">
        <f>+'[24]แผน ตปท'!$AK$16</f>
        <v>0</v>
      </c>
      <c r="I9" s="138">
        <f t="shared" si="0"/>
        <v>0</v>
      </c>
      <c r="J9" s="138">
        <f t="shared" si="1"/>
        <v>110400</v>
      </c>
      <c r="K9" s="138">
        <f t="shared" si="2"/>
        <v>110400</v>
      </c>
    </row>
    <row r="10" spans="1:11" ht="63">
      <c r="A10" s="132">
        <v>4</v>
      </c>
      <c r="B10" s="100" t="s">
        <v>325</v>
      </c>
      <c r="C10" s="144" t="s">
        <v>377</v>
      </c>
      <c r="D10" s="138">
        <f>+'[24]แผน ตปท'!$Z$17</f>
        <v>37400</v>
      </c>
      <c r="E10" s="138">
        <v>37400</v>
      </c>
      <c r="F10" s="138">
        <f>+'[24]แผน ตปท'!$AI$17</f>
        <v>0</v>
      </c>
      <c r="G10" s="138">
        <f>+'[24]แผน ตปท'!$AJ$17</f>
        <v>0</v>
      </c>
      <c r="H10" s="138">
        <f>+'[24]แผน ตปท'!$AK$17</f>
        <v>0</v>
      </c>
      <c r="I10" s="138">
        <f t="shared" si="0"/>
        <v>0</v>
      </c>
      <c r="J10" s="138">
        <f t="shared" si="1"/>
        <v>37400</v>
      </c>
      <c r="K10" s="138">
        <f t="shared" si="2"/>
        <v>37400</v>
      </c>
    </row>
    <row r="11" spans="1:11" ht="42">
      <c r="A11" s="133">
        <v>5</v>
      </c>
      <c r="B11" s="124" t="s">
        <v>326</v>
      </c>
      <c r="C11" s="144" t="s">
        <v>377</v>
      </c>
      <c r="D11" s="138">
        <f>+'[24]แผน ตปท'!$Z$18</f>
        <v>43500</v>
      </c>
      <c r="E11" s="138"/>
      <c r="F11" s="138">
        <f>+'[24]แผน ตปท'!$AI$18</f>
        <v>0</v>
      </c>
      <c r="G11" s="138">
        <f>+'[24]แผน ตปท'!$AJ$18</f>
        <v>0</v>
      </c>
      <c r="H11" s="138">
        <f>+'[24]แผน ตปท'!$AK$18</f>
        <v>0</v>
      </c>
      <c r="I11" s="138">
        <f t="shared" si="0"/>
        <v>0</v>
      </c>
      <c r="J11" s="138">
        <f t="shared" si="1"/>
        <v>0</v>
      </c>
      <c r="K11" s="138">
        <f t="shared" si="2"/>
        <v>43500</v>
      </c>
    </row>
    <row r="12" spans="1:11" ht="42">
      <c r="A12" s="132">
        <v>6</v>
      </c>
      <c r="B12" s="100" t="s">
        <v>327</v>
      </c>
      <c r="C12" s="145" t="s">
        <v>377</v>
      </c>
      <c r="D12" s="138">
        <f>+'[24]แผน ตปท'!$Z$19</f>
        <v>37400</v>
      </c>
      <c r="E12" s="138">
        <v>37400</v>
      </c>
      <c r="F12" s="138">
        <f>+'[24]แผน ตปท'!$AI$19</f>
        <v>0</v>
      </c>
      <c r="G12" s="138">
        <f>+'[24]แผน ตปท'!$AJ$19</f>
        <v>0</v>
      </c>
      <c r="H12" s="138">
        <f>+'[24]แผน ตปท'!$AK$19</f>
        <v>0</v>
      </c>
      <c r="I12" s="138">
        <f t="shared" si="0"/>
        <v>0</v>
      </c>
      <c r="J12" s="138">
        <f t="shared" si="1"/>
        <v>37400</v>
      </c>
      <c r="K12" s="138">
        <f t="shared" si="2"/>
        <v>37400</v>
      </c>
    </row>
    <row r="13" spans="1:11" ht="63">
      <c r="A13" s="133">
        <v>7</v>
      </c>
      <c r="B13" s="100" t="s">
        <v>328</v>
      </c>
      <c r="C13" s="144" t="s">
        <v>378</v>
      </c>
      <c r="D13" s="138">
        <f>+'[24]แผน ตปท'!$Z$20</f>
        <v>55600</v>
      </c>
      <c r="E13" s="138"/>
      <c r="F13" s="138">
        <f>+'[24]แผน ตปท'!$AI$20</f>
        <v>0</v>
      </c>
      <c r="G13" s="138">
        <f>+'[24]แผน ตปท'!$AJ$20</f>
        <v>0</v>
      </c>
      <c r="H13" s="138">
        <f>+'[24]แผน ตปท'!$AK$20</f>
        <v>0</v>
      </c>
      <c r="I13" s="138">
        <f t="shared" si="0"/>
        <v>0</v>
      </c>
      <c r="J13" s="138">
        <f t="shared" si="1"/>
        <v>0</v>
      </c>
      <c r="K13" s="138">
        <f t="shared" si="2"/>
        <v>55600</v>
      </c>
    </row>
    <row r="14" spans="1:11">
      <c r="A14" s="133"/>
      <c r="B14" s="124"/>
      <c r="C14" s="144" t="s">
        <v>379</v>
      </c>
      <c r="D14" s="138">
        <f>+'[24]แผน ตปท'!$Z$21</f>
        <v>41400</v>
      </c>
      <c r="E14" s="138"/>
      <c r="F14" s="138">
        <f>+'[24]แผน ตปท'!$AI$21</f>
        <v>0</v>
      </c>
      <c r="G14" s="138">
        <f>+'[24]แผน ตปท'!$AJ$21</f>
        <v>0</v>
      </c>
      <c r="H14" s="138">
        <f>+'[24]แผน ตปท'!$AK$21</f>
        <v>0</v>
      </c>
      <c r="I14" s="138">
        <f t="shared" si="0"/>
        <v>0</v>
      </c>
      <c r="J14" s="138">
        <f t="shared" si="1"/>
        <v>0</v>
      </c>
      <c r="K14" s="138">
        <f t="shared" si="2"/>
        <v>41400</v>
      </c>
    </row>
    <row r="15" spans="1:11">
      <c r="A15" s="133"/>
      <c r="B15" s="100"/>
      <c r="C15" s="144" t="s">
        <v>378</v>
      </c>
      <c r="D15" s="138">
        <f>+'[24]แผน ตปท'!$Z$22</f>
        <v>49600</v>
      </c>
      <c r="E15" s="138"/>
      <c r="F15" s="138">
        <f>+'[24]แผน ตปท'!$AI$22</f>
        <v>0</v>
      </c>
      <c r="G15" s="138">
        <f>+'[24]แผน ตปท'!$AJ$22</f>
        <v>0</v>
      </c>
      <c r="H15" s="138">
        <f>+'[24]แผน ตปท'!$AK$22</f>
        <v>0</v>
      </c>
      <c r="I15" s="138">
        <f t="shared" si="0"/>
        <v>0</v>
      </c>
      <c r="J15" s="138">
        <f t="shared" si="1"/>
        <v>0</v>
      </c>
      <c r="K15" s="138">
        <f t="shared" si="2"/>
        <v>49600</v>
      </c>
    </row>
    <row r="16" spans="1:11" ht="42">
      <c r="A16" s="132">
        <v>8</v>
      </c>
      <c r="B16" s="100" t="s">
        <v>329</v>
      </c>
      <c r="C16" s="145" t="s">
        <v>378</v>
      </c>
      <c r="D16" s="138">
        <f>+'[24]แผน ตปท'!$Z$23</f>
        <v>55700</v>
      </c>
      <c r="E16" s="138"/>
      <c r="F16" s="138">
        <f>+'[24]แผน ตปท'!$AI$23</f>
        <v>0</v>
      </c>
      <c r="G16" s="138">
        <f>+'[24]แผน ตปท'!$AJ$23</f>
        <v>0</v>
      </c>
      <c r="H16" s="138">
        <f>+'[24]แผน ตปท'!$AK$23</f>
        <v>0</v>
      </c>
      <c r="I16" s="138">
        <f t="shared" si="0"/>
        <v>0</v>
      </c>
      <c r="J16" s="138">
        <f t="shared" si="1"/>
        <v>0</v>
      </c>
      <c r="K16" s="138">
        <f t="shared" si="2"/>
        <v>55700</v>
      </c>
    </row>
    <row r="17" spans="1:11">
      <c r="A17" s="133"/>
      <c r="B17" s="124" t="s">
        <v>330</v>
      </c>
      <c r="C17" s="144" t="s">
        <v>379</v>
      </c>
      <c r="D17" s="138">
        <f>+'[24]แผน ตปท'!$Z$24</f>
        <v>41400</v>
      </c>
      <c r="E17" s="138"/>
      <c r="F17" s="138">
        <f>+'[24]แผน ตปท'!$AI$24</f>
        <v>0</v>
      </c>
      <c r="G17" s="138">
        <f>+'[24]แผน ตปท'!$AJ$24</f>
        <v>0</v>
      </c>
      <c r="H17" s="138">
        <f>+'[24]แผน ตปท'!$AK$24</f>
        <v>0</v>
      </c>
      <c r="I17" s="138">
        <f t="shared" si="0"/>
        <v>0</v>
      </c>
      <c r="J17" s="138">
        <f t="shared" si="1"/>
        <v>0</v>
      </c>
      <c r="K17" s="138">
        <f t="shared" si="2"/>
        <v>41400</v>
      </c>
    </row>
    <row r="18" spans="1:11" ht="63">
      <c r="A18" s="133">
        <v>9</v>
      </c>
      <c r="B18" s="124" t="s">
        <v>331</v>
      </c>
      <c r="C18" s="145" t="s">
        <v>378</v>
      </c>
      <c r="D18" s="138">
        <f>+'[24]แผน ตปท'!$Z$25</f>
        <v>55700</v>
      </c>
      <c r="E18" s="138"/>
      <c r="F18" s="138">
        <f>+'[24]แผน ตปท'!$AI$25</f>
        <v>0</v>
      </c>
      <c r="G18" s="138">
        <f>+'[24]แผน ตปท'!$AJ$25</f>
        <v>0</v>
      </c>
      <c r="H18" s="138">
        <f>+'[24]แผน ตปท'!$AK$25</f>
        <v>0</v>
      </c>
      <c r="I18" s="138">
        <f t="shared" si="0"/>
        <v>0</v>
      </c>
      <c r="J18" s="138">
        <f t="shared" si="1"/>
        <v>0</v>
      </c>
      <c r="K18" s="138">
        <f t="shared" si="2"/>
        <v>55700</v>
      </c>
    </row>
    <row r="19" spans="1:11">
      <c r="A19" s="132" t="s">
        <v>330</v>
      </c>
      <c r="B19" s="124"/>
      <c r="C19" s="144" t="s">
        <v>379</v>
      </c>
      <c r="D19" s="138">
        <f>+'[24]แผน ตปท'!$Z$26</f>
        <v>37400</v>
      </c>
      <c r="E19" s="138"/>
      <c r="F19" s="138">
        <f>+'[24]แผน ตปท'!$AI$26</f>
        <v>0</v>
      </c>
      <c r="G19" s="138">
        <f>+'[24]แผน ตปท'!$AJ$26</f>
        <v>0</v>
      </c>
      <c r="H19" s="138">
        <f>+'[24]แผน ตปท'!$AK$26</f>
        <v>0</v>
      </c>
      <c r="I19" s="138">
        <f t="shared" si="0"/>
        <v>0</v>
      </c>
      <c r="J19" s="138">
        <f t="shared" si="1"/>
        <v>0</v>
      </c>
      <c r="K19" s="138">
        <f t="shared" si="2"/>
        <v>37400</v>
      </c>
    </row>
    <row r="20" spans="1:11" ht="42">
      <c r="A20" s="133">
        <v>10</v>
      </c>
      <c r="B20" s="100" t="s">
        <v>332</v>
      </c>
      <c r="C20" s="144" t="s">
        <v>380</v>
      </c>
      <c r="D20" s="138">
        <f>+'[24]แผน ตปท'!$Z$27</f>
        <v>38500</v>
      </c>
      <c r="E20" s="138"/>
      <c r="F20" s="138">
        <f>+'[24]แผน ตปท'!$AI$27</f>
        <v>0</v>
      </c>
      <c r="G20" s="138">
        <f>+'[24]แผน ตปท'!$AJ$27</f>
        <v>0</v>
      </c>
      <c r="H20" s="138">
        <f>+'[24]แผน ตปท'!$AK$27</f>
        <v>0</v>
      </c>
      <c r="I20" s="138">
        <f t="shared" si="0"/>
        <v>0</v>
      </c>
      <c r="J20" s="138">
        <f t="shared" si="1"/>
        <v>0</v>
      </c>
      <c r="K20" s="138">
        <f t="shared" si="2"/>
        <v>38500</v>
      </c>
    </row>
    <row r="21" spans="1:11">
      <c r="A21" s="136"/>
      <c r="B21" s="100"/>
      <c r="C21" s="144" t="s">
        <v>380</v>
      </c>
      <c r="D21" s="138">
        <f>+'[24]แผน ตปท'!$Z$28</f>
        <v>66000</v>
      </c>
      <c r="E21" s="138"/>
      <c r="F21" s="138">
        <f>+'[24]แผน ตปท'!$AI$28</f>
        <v>0</v>
      </c>
      <c r="G21" s="138">
        <f>+'[24]แผน ตปท'!$AJ$28</f>
        <v>0</v>
      </c>
      <c r="H21" s="138">
        <f>+'[24]แผน ตปท'!$AK$28</f>
        <v>0</v>
      </c>
      <c r="I21" s="138">
        <f t="shared" si="0"/>
        <v>0</v>
      </c>
      <c r="J21" s="138">
        <f t="shared" si="1"/>
        <v>0</v>
      </c>
      <c r="K21" s="138">
        <f t="shared" si="2"/>
        <v>66000</v>
      </c>
    </row>
    <row r="22" spans="1:11">
      <c r="A22" s="136"/>
      <c r="B22" s="100"/>
      <c r="C22" s="144" t="s">
        <v>381</v>
      </c>
      <c r="D22" s="138">
        <f>+'[24]แผน ตปท'!$Z$29</f>
        <v>33500</v>
      </c>
      <c r="E22" s="138"/>
      <c r="F22" s="138">
        <f>+'[24]แผน ตปท'!$AI$29</f>
        <v>0</v>
      </c>
      <c r="G22" s="138">
        <f>+'[24]แผน ตปท'!$AJ$29</f>
        <v>0</v>
      </c>
      <c r="H22" s="138">
        <f>+'[24]แผน ตปท'!$AK$29</f>
        <v>0</v>
      </c>
      <c r="I22" s="138">
        <f t="shared" si="0"/>
        <v>0</v>
      </c>
      <c r="J22" s="138">
        <f t="shared" si="1"/>
        <v>0</v>
      </c>
      <c r="K22" s="138">
        <f t="shared" si="2"/>
        <v>33500</v>
      </c>
    </row>
    <row r="23" spans="1:11" ht="63">
      <c r="A23" s="133">
        <v>11</v>
      </c>
      <c r="B23" s="100" t="s">
        <v>333</v>
      </c>
      <c r="C23" s="144" t="s">
        <v>382</v>
      </c>
      <c r="D23" s="138">
        <f>+'[24]แผน ตปท'!$Z$30</f>
        <v>40500</v>
      </c>
      <c r="E23" s="138"/>
      <c r="F23" s="138">
        <f>+'[24]แผน ตปท'!$AI$30</f>
        <v>0</v>
      </c>
      <c r="G23" s="138">
        <f>+'[24]แผน ตปท'!$AJ$30</f>
        <v>0</v>
      </c>
      <c r="H23" s="138">
        <f>+'[24]แผน ตปท'!$AK$30</f>
        <v>0</v>
      </c>
      <c r="I23" s="138">
        <f t="shared" si="0"/>
        <v>0</v>
      </c>
      <c r="J23" s="138">
        <f t="shared" si="1"/>
        <v>0</v>
      </c>
      <c r="K23" s="138">
        <f t="shared" si="2"/>
        <v>40500</v>
      </c>
    </row>
    <row r="24" spans="1:11">
      <c r="A24" s="133"/>
      <c r="B24" s="100" t="s">
        <v>330</v>
      </c>
      <c r="C24" s="144" t="s">
        <v>382</v>
      </c>
      <c r="D24" s="138">
        <f>+'[24]แผน ตปท'!$Z$31</f>
        <v>27900</v>
      </c>
      <c r="E24" s="138"/>
      <c r="F24" s="138">
        <f>+'[24]แผน ตปท'!$AI$31</f>
        <v>0</v>
      </c>
      <c r="G24" s="138">
        <f>+'[24]แผน ตปท'!$AJ$31</f>
        <v>0</v>
      </c>
      <c r="H24" s="138">
        <f>+'[24]แผน ตปท'!$AK$31</f>
        <v>0</v>
      </c>
      <c r="I24" s="138">
        <f t="shared" si="0"/>
        <v>0</v>
      </c>
      <c r="J24" s="138">
        <f t="shared" si="1"/>
        <v>0</v>
      </c>
      <c r="K24" s="138">
        <f t="shared" si="2"/>
        <v>27900</v>
      </c>
    </row>
    <row r="25" spans="1:11" ht="42">
      <c r="A25" s="133">
        <v>12</v>
      </c>
      <c r="B25" s="124" t="s">
        <v>334</v>
      </c>
      <c r="C25" s="144" t="s">
        <v>382</v>
      </c>
      <c r="D25" s="138">
        <f>+'[24]แผน ตปท'!$Z$32</f>
        <v>27900</v>
      </c>
      <c r="E25" s="138"/>
      <c r="F25" s="138">
        <f>+'[24]แผน ตปท'!$AI$32</f>
        <v>0</v>
      </c>
      <c r="G25" s="138">
        <f>+'[24]แผน ตปท'!$AJ$32</f>
        <v>0</v>
      </c>
      <c r="H25" s="138">
        <f>+'[24]แผน ตปท'!$AK$32</f>
        <v>0</v>
      </c>
      <c r="I25" s="138">
        <f t="shared" si="0"/>
        <v>0</v>
      </c>
      <c r="J25" s="138">
        <f t="shared" si="1"/>
        <v>0</v>
      </c>
      <c r="K25" s="138">
        <f t="shared" si="2"/>
        <v>27900</v>
      </c>
    </row>
    <row r="26" spans="1:11" ht="84">
      <c r="A26" s="133">
        <v>13</v>
      </c>
      <c r="B26" s="123" t="s">
        <v>335</v>
      </c>
      <c r="C26" s="145" t="s">
        <v>378</v>
      </c>
      <c r="D26" s="138">
        <f>+'[24]แผน ตปท'!$Z$33</f>
        <v>63000</v>
      </c>
      <c r="E26" s="138"/>
      <c r="F26" s="138">
        <f>+'[24]แผน ตปท'!$AI$33</f>
        <v>0</v>
      </c>
      <c r="G26" s="138">
        <f>+'[24]แผน ตปท'!$AJ$33</f>
        <v>0</v>
      </c>
      <c r="H26" s="138">
        <f>+'[24]แผน ตปท'!$AK$33</f>
        <v>0</v>
      </c>
      <c r="I26" s="138">
        <f t="shared" si="0"/>
        <v>0</v>
      </c>
      <c r="J26" s="138">
        <f t="shared" si="1"/>
        <v>0</v>
      </c>
      <c r="K26" s="138">
        <f t="shared" si="2"/>
        <v>63000</v>
      </c>
    </row>
    <row r="27" spans="1:11" ht="63">
      <c r="A27" s="133">
        <v>14</v>
      </c>
      <c r="B27" s="100" t="s">
        <v>336</v>
      </c>
      <c r="C27" s="144" t="s">
        <v>383</v>
      </c>
      <c r="D27" s="138">
        <f>+'[24]แผน ตปท'!$Z$34</f>
        <v>100200</v>
      </c>
      <c r="E27" s="138"/>
      <c r="F27" s="138">
        <f>+'[24]แผน ตปท'!$AI$34</f>
        <v>0</v>
      </c>
      <c r="G27" s="138">
        <f>+'[24]แผน ตปท'!$AJ$34</f>
        <v>0</v>
      </c>
      <c r="H27" s="138">
        <f>+'[24]แผน ตปท'!$AK$34</f>
        <v>0</v>
      </c>
      <c r="I27" s="138">
        <f t="shared" si="0"/>
        <v>0</v>
      </c>
      <c r="J27" s="138">
        <f t="shared" si="1"/>
        <v>0</v>
      </c>
      <c r="K27" s="138">
        <f t="shared" si="2"/>
        <v>100200</v>
      </c>
    </row>
    <row r="28" spans="1:11" ht="42">
      <c r="A28" s="133">
        <v>15</v>
      </c>
      <c r="B28" s="124" t="s">
        <v>337</v>
      </c>
      <c r="C28" s="145" t="s">
        <v>378</v>
      </c>
      <c r="D28" s="138">
        <f>+'[24]แผน ตปท'!$Z$36</f>
        <v>270400</v>
      </c>
      <c r="E28" s="138">
        <v>270400</v>
      </c>
      <c r="F28" s="138">
        <f>+'[24]แผน ตปท'!$AI$36</f>
        <v>0</v>
      </c>
      <c r="G28" s="138">
        <f>+'[24]แผน ตปท'!$AJ$36</f>
        <v>0</v>
      </c>
      <c r="H28" s="138">
        <f>+'[24]แผน ตปท'!$AK$36</f>
        <v>0</v>
      </c>
      <c r="I28" s="138">
        <f t="shared" si="0"/>
        <v>0</v>
      </c>
      <c r="J28" s="138">
        <f t="shared" si="1"/>
        <v>270400</v>
      </c>
      <c r="K28" s="138">
        <f t="shared" si="2"/>
        <v>270400</v>
      </c>
    </row>
    <row r="29" spans="1:11" ht="84">
      <c r="A29" s="133">
        <v>16</v>
      </c>
      <c r="B29" s="123" t="s">
        <v>338</v>
      </c>
      <c r="C29" s="144" t="s">
        <v>384</v>
      </c>
      <c r="D29" s="138">
        <f>+'[24]แผน ตปท'!$Z$38</f>
        <v>68000</v>
      </c>
      <c r="E29" s="138"/>
      <c r="F29" s="138">
        <f>+'[24]แผน ตปท'!$AI$38</f>
        <v>0</v>
      </c>
      <c r="G29" s="138">
        <f>+'[24]แผน ตปท'!$AJ$38</f>
        <v>0</v>
      </c>
      <c r="H29" s="138">
        <f>+'[24]แผน ตปท'!$AK$38</f>
        <v>0</v>
      </c>
      <c r="I29" s="138">
        <f t="shared" si="0"/>
        <v>0</v>
      </c>
      <c r="J29" s="138">
        <f t="shared" si="1"/>
        <v>0</v>
      </c>
      <c r="K29" s="138">
        <f t="shared" si="2"/>
        <v>68000</v>
      </c>
    </row>
    <row r="30" spans="1:11" ht="105">
      <c r="A30" s="133">
        <v>17</v>
      </c>
      <c r="B30" s="123" t="s">
        <v>339</v>
      </c>
      <c r="C30" s="144" t="s">
        <v>384</v>
      </c>
      <c r="D30" s="138">
        <f>+'[24]แผน ตปท'!$Z$39</f>
        <v>82000</v>
      </c>
      <c r="E30" s="138"/>
      <c r="F30" s="138">
        <f>+'[24]แผน ตปท'!$AI$39</f>
        <v>0</v>
      </c>
      <c r="G30" s="138">
        <f>+'[24]แผน ตปท'!$AJ$39</f>
        <v>0</v>
      </c>
      <c r="H30" s="138">
        <f>+'[24]แผน ตปท'!$AK$39</f>
        <v>0</v>
      </c>
      <c r="I30" s="138">
        <f t="shared" si="0"/>
        <v>0</v>
      </c>
      <c r="J30" s="138">
        <f t="shared" si="1"/>
        <v>0</v>
      </c>
      <c r="K30" s="138">
        <f t="shared" si="2"/>
        <v>82000</v>
      </c>
    </row>
    <row r="31" spans="1:11" ht="63">
      <c r="A31" s="132">
        <v>18</v>
      </c>
      <c r="B31" s="124" t="s">
        <v>340</v>
      </c>
      <c r="C31" s="145" t="s">
        <v>377</v>
      </c>
      <c r="D31" s="138">
        <f>+'[24]แผน ตปท'!$Z$41</f>
        <v>102500</v>
      </c>
      <c r="E31" s="138">
        <v>102500</v>
      </c>
      <c r="F31" s="138">
        <f>+'[24]แผน ตปท'!$AI$41</f>
        <v>0</v>
      </c>
      <c r="G31" s="138">
        <f>+'[24]แผน ตปท'!$AJ$41</f>
        <v>1000</v>
      </c>
      <c r="H31" s="138">
        <f>+'[24]แผน ตปท'!$AK$41</f>
        <v>0</v>
      </c>
      <c r="I31" s="138">
        <f t="shared" si="0"/>
        <v>1000</v>
      </c>
      <c r="J31" s="138">
        <f t="shared" si="1"/>
        <v>101500</v>
      </c>
      <c r="K31" s="138">
        <f t="shared" si="2"/>
        <v>101500</v>
      </c>
    </row>
    <row r="32" spans="1:11" ht="84">
      <c r="A32" s="132">
        <v>19</v>
      </c>
      <c r="B32" s="124" t="s">
        <v>341</v>
      </c>
      <c r="C32" s="144" t="s">
        <v>385</v>
      </c>
      <c r="D32" s="138">
        <f>+'[24]แผน ตปท'!$Z$42</f>
        <v>93000</v>
      </c>
      <c r="E32" s="138">
        <f>93000-38000</f>
        <v>55000</v>
      </c>
      <c r="F32" s="138">
        <f>+'[24]แผน ตปท'!$AI$42</f>
        <v>0</v>
      </c>
      <c r="G32" s="138">
        <f>+'[24]แผน ตปท'!$AJ$42</f>
        <v>0</v>
      </c>
      <c r="H32" s="138">
        <f>+'[24]แผน ตปท'!$AK$42</f>
        <v>0</v>
      </c>
      <c r="I32" s="138">
        <f t="shared" si="0"/>
        <v>0</v>
      </c>
      <c r="J32" s="138">
        <f t="shared" si="1"/>
        <v>55000</v>
      </c>
      <c r="K32" s="138">
        <f t="shared" si="2"/>
        <v>93000</v>
      </c>
    </row>
    <row r="33" spans="1:11" ht="63">
      <c r="A33" s="133">
        <v>20</v>
      </c>
      <c r="B33" s="124" t="s">
        <v>342</v>
      </c>
      <c r="C33" s="144" t="s">
        <v>385</v>
      </c>
      <c r="D33" s="138">
        <f>+'[24]แผน ตปท'!$Z$43</f>
        <v>0</v>
      </c>
      <c r="E33" s="138">
        <v>94000</v>
      </c>
      <c r="F33" s="138">
        <f>+'[24]แผน ตปท'!$AI$43</f>
        <v>0</v>
      </c>
      <c r="G33" s="138">
        <f>+'[24]แผน ตปท'!$AJ$43</f>
        <v>0</v>
      </c>
      <c r="H33" s="138">
        <f>+'[24]แผน ตปท'!$AK$43</f>
        <v>0</v>
      </c>
      <c r="I33" s="138">
        <f t="shared" si="0"/>
        <v>0</v>
      </c>
      <c r="J33" s="138">
        <f t="shared" si="1"/>
        <v>94000</v>
      </c>
      <c r="K33" s="138">
        <f t="shared" si="2"/>
        <v>0</v>
      </c>
    </row>
    <row r="34" spans="1:11" ht="63">
      <c r="A34" s="133">
        <v>21</v>
      </c>
      <c r="B34" s="124" t="s">
        <v>343</v>
      </c>
      <c r="C34" s="144" t="s">
        <v>385</v>
      </c>
      <c r="D34" s="138">
        <f>+'[24]แผน ตปท'!$Z$45</f>
        <v>163000</v>
      </c>
      <c r="E34" s="138"/>
      <c r="F34" s="138">
        <f>+'[24]แผน ตปท'!$AI$45</f>
        <v>0</v>
      </c>
      <c r="G34" s="138">
        <f>+'[24]แผน ตปท'!$AJ$45</f>
        <v>0</v>
      </c>
      <c r="H34" s="138">
        <f>+'[24]แผน ตปท'!$AK$45</f>
        <v>0</v>
      </c>
      <c r="I34" s="138">
        <f t="shared" si="0"/>
        <v>0</v>
      </c>
      <c r="J34" s="138">
        <f t="shared" si="1"/>
        <v>0</v>
      </c>
      <c r="K34" s="138">
        <f t="shared" si="2"/>
        <v>163000</v>
      </c>
    </row>
    <row r="35" spans="1:11">
      <c r="A35" s="140" t="s">
        <v>344</v>
      </c>
      <c r="B35" s="141"/>
      <c r="C35" s="139"/>
      <c r="D35" s="138">
        <f>+'[24]แผน ตปท'!Z46</f>
        <v>0</v>
      </c>
      <c r="E35" s="138"/>
      <c r="F35" s="138">
        <f>+'[24]แผน ตปท'!$AI$46</f>
        <v>0</v>
      </c>
      <c r="G35" s="138">
        <f>+'[24]แผน ตปท'!$AJ$46</f>
        <v>0</v>
      </c>
      <c r="H35" s="138">
        <f>+'[24]แผน ตปท'!$AK$46</f>
        <v>0</v>
      </c>
      <c r="I35" s="138">
        <f t="shared" si="0"/>
        <v>0</v>
      </c>
      <c r="J35" s="138">
        <f t="shared" si="1"/>
        <v>0</v>
      </c>
      <c r="K35" s="138">
        <f t="shared" si="2"/>
        <v>0</v>
      </c>
    </row>
    <row r="36" spans="1:11">
      <c r="A36" s="140" t="s">
        <v>345</v>
      </c>
      <c r="B36" s="141"/>
      <c r="C36" s="139"/>
      <c r="D36" s="138">
        <f>+'[24]แผน ตปท'!Z47</f>
        <v>0</v>
      </c>
      <c r="E36" s="138"/>
      <c r="F36" s="138">
        <f>+'[24]แผน ตปท'!$AI$47</f>
        <v>0</v>
      </c>
      <c r="G36" s="138">
        <f>+'[24]แผน ตปท'!$AJ$47</f>
        <v>0</v>
      </c>
      <c r="H36" s="138">
        <f>+'[24]แผน ตปท'!$AK$47</f>
        <v>0</v>
      </c>
      <c r="I36" s="138">
        <f t="shared" si="0"/>
        <v>0</v>
      </c>
      <c r="J36" s="138">
        <f t="shared" si="1"/>
        <v>0</v>
      </c>
      <c r="K36" s="138">
        <f t="shared" si="2"/>
        <v>0</v>
      </c>
    </row>
    <row r="37" spans="1:11" ht="63">
      <c r="A37" s="127">
        <v>1.1000000000000001</v>
      </c>
      <c r="B37" s="124" t="s">
        <v>346</v>
      </c>
      <c r="C37" s="144" t="s">
        <v>386</v>
      </c>
      <c r="D37" s="138">
        <f>+'[24]แผน ตปท'!$Z$48</f>
        <v>120300</v>
      </c>
      <c r="E37" s="138"/>
      <c r="F37" s="138">
        <f>+'[24]แผน ตปท'!$AI$48</f>
        <v>0</v>
      </c>
      <c r="G37" s="138">
        <f>+'[24]แผน ตปท'!$AJ$48</f>
        <v>0</v>
      </c>
      <c r="H37" s="138">
        <f>+'[24]แผน ตปท'!$AK$48</f>
        <v>0</v>
      </c>
      <c r="I37" s="138">
        <f t="shared" si="0"/>
        <v>0</v>
      </c>
      <c r="J37" s="138">
        <f t="shared" si="1"/>
        <v>0</v>
      </c>
      <c r="K37" s="138">
        <f t="shared" si="2"/>
        <v>120300</v>
      </c>
    </row>
    <row r="38" spans="1:11">
      <c r="A38" s="127">
        <v>1.2</v>
      </c>
      <c r="B38" s="124" t="s">
        <v>347</v>
      </c>
      <c r="C38" s="144" t="s">
        <v>376</v>
      </c>
      <c r="D38" s="138">
        <f>+'[24]แผน ตปท'!$Z$49</f>
        <v>106200</v>
      </c>
      <c r="E38" s="138">
        <v>106200</v>
      </c>
      <c r="F38" s="138">
        <f>+'[24]แผน ตปท'!$AI$49</f>
        <v>0</v>
      </c>
      <c r="G38" s="138">
        <f>+'[24]แผน ตปท'!$AJ$49</f>
        <v>0</v>
      </c>
      <c r="H38" s="138">
        <f>+'[24]แผน ตปท'!$AK$49</f>
        <v>0</v>
      </c>
      <c r="I38" s="138">
        <f t="shared" si="0"/>
        <v>0</v>
      </c>
      <c r="J38" s="138">
        <f t="shared" si="1"/>
        <v>106200</v>
      </c>
      <c r="K38" s="138">
        <f t="shared" si="2"/>
        <v>106200</v>
      </c>
    </row>
    <row r="39" spans="1:11" ht="42">
      <c r="A39" s="127">
        <v>1.3</v>
      </c>
      <c r="B39" s="100" t="s">
        <v>348</v>
      </c>
      <c r="C39" s="144" t="s">
        <v>387</v>
      </c>
      <c r="D39" s="138">
        <f>+'[24]แผน ตปท'!$Z$50</f>
        <v>110500</v>
      </c>
      <c r="E39" s="138"/>
      <c r="F39" s="138">
        <f>+'[24]แผน ตปท'!$AI$50</f>
        <v>0</v>
      </c>
      <c r="G39" s="138">
        <f>+'[24]แผน ตปท'!$AJ$50</f>
        <v>0</v>
      </c>
      <c r="H39" s="138">
        <f>+'[24]แผน ตปท'!$AK$50</f>
        <v>0</v>
      </c>
      <c r="I39" s="138">
        <f t="shared" si="0"/>
        <v>0</v>
      </c>
      <c r="J39" s="138">
        <f t="shared" si="1"/>
        <v>0</v>
      </c>
      <c r="K39" s="138">
        <f t="shared" si="2"/>
        <v>110500</v>
      </c>
    </row>
    <row r="40" spans="1:11" ht="63">
      <c r="A40" s="126">
        <v>1.4</v>
      </c>
      <c r="B40" s="124" t="s">
        <v>349</v>
      </c>
      <c r="C40" s="144" t="s">
        <v>379</v>
      </c>
      <c r="D40" s="138">
        <f>+'[24]แผน ตปท'!$Z$51</f>
        <v>55900</v>
      </c>
      <c r="E40" s="138">
        <v>55900</v>
      </c>
      <c r="F40" s="138">
        <f>+'[24]แผน ตปท'!$AI$51</f>
        <v>0</v>
      </c>
      <c r="G40" s="138">
        <f>+'[24]แผน ตปท'!$AJ$51</f>
        <v>0</v>
      </c>
      <c r="H40" s="138">
        <f>+'[24]แผน ตปท'!$AK$51</f>
        <v>0</v>
      </c>
      <c r="I40" s="138">
        <f t="shared" si="0"/>
        <v>0</v>
      </c>
      <c r="J40" s="138">
        <f t="shared" si="1"/>
        <v>55900</v>
      </c>
      <c r="K40" s="138">
        <f t="shared" si="2"/>
        <v>55900</v>
      </c>
    </row>
    <row r="41" spans="1:11">
      <c r="A41" s="140" t="s">
        <v>350</v>
      </c>
      <c r="B41" s="141"/>
      <c r="C41" s="125"/>
      <c r="D41" s="138">
        <f>+'[24]แผน ตปท'!$Z$52</f>
        <v>0</v>
      </c>
      <c r="E41" s="138"/>
      <c r="F41" s="138">
        <f>+'[24]แผน ตปท'!$AI$52</f>
        <v>0</v>
      </c>
      <c r="G41" s="138">
        <f>+'[24]แผน ตปท'!$AJ$52</f>
        <v>0</v>
      </c>
      <c r="H41" s="138">
        <f>+'[24]แผน ตปท'!$AK$52</f>
        <v>0</v>
      </c>
      <c r="I41" s="138">
        <f t="shared" si="0"/>
        <v>0</v>
      </c>
      <c r="J41" s="138">
        <f t="shared" si="1"/>
        <v>0</v>
      </c>
      <c r="K41" s="138">
        <f t="shared" si="2"/>
        <v>0</v>
      </c>
    </row>
    <row r="42" spans="1:11" ht="63">
      <c r="A42" s="128">
        <v>2.1</v>
      </c>
      <c r="B42" s="124" t="s">
        <v>351</v>
      </c>
      <c r="C42" s="144" t="s">
        <v>385</v>
      </c>
      <c r="D42" s="138">
        <f>+'[24]แผน ตปท'!$Z$53</f>
        <v>0</v>
      </c>
      <c r="E42" s="138"/>
      <c r="F42" s="138">
        <f>+'[24]แผน ตปท'!$AI$53</f>
        <v>0</v>
      </c>
      <c r="G42" s="138">
        <f>+'[24]แผน ตปท'!$AJ$53</f>
        <v>0</v>
      </c>
      <c r="H42" s="138">
        <f>+'[24]แผน ตปท'!$AK$53</f>
        <v>0</v>
      </c>
      <c r="I42" s="138">
        <f t="shared" si="0"/>
        <v>0</v>
      </c>
      <c r="J42" s="138">
        <f t="shared" si="1"/>
        <v>0</v>
      </c>
      <c r="K42" s="138">
        <f t="shared" si="2"/>
        <v>0</v>
      </c>
    </row>
    <row r="43" spans="1:11">
      <c r="A43" s="140" t="s">
        <v>352</v>
      </c>
      <c r="B43" s="141"/>
      <c r="C43" s="125"/>
      <c r="D43" s="138">
        <f>+'[24]แผน ตปท'!$Z$57</f>
        <v>0</v>
      </c>
      <c r="E43" s="138"/>
      <c r="F43" s="138">
        <f>+'[24]แผน ตปท'!$AI$57</f>
        <v>0</v>
      </c>
      <c r="G43" s="138">
        <f>+'[24]แผน ตปท'!$AJ$57</f>
        <v>0</v>
      </c>
      <c r="H43" s="138">
        <f>+'[24]แผน ตปท'!$AK$57</f>
        <v>0</v>
      </c>
      <c r="I43" s="138">
        <f t="shared" si="0"/>
        <v>0</v>
      </c>
      <c r="J43" s="138">
        <f t="shared" si="1"/>
        <v>0</v>
      </c>
      <c r="K43" s="138">
        <f t="shared" si="2"/>
        <v>0</v>
      </c>
    </row>
    <row r="44" spans="1:11">
      <c r="A44" s="133"/>
      <c r="B44" s="100" t="s">
        <v>353</v>
      </c>
      <c r="C44" s="137"/>
      <c r="D44" s="138">
        <f>+'[24]แผน ตปท'!$Z$58</f>
        <v>0</v>
      </c>
      <c r="E44" s="138"/>
      <c r="F44" s="138">
        <f>+'[24]แผน ตปท'!$AI$58</f>
        <v>0</v>
      </c>
      <c r="G44" s="138">
        <f>+'[24]แผน ตปท'!$AJ$58</f>
        <v>0</v>
      </c>
      <c r="H44" s="138">
        <f>+'[24]แผน ตปท'!$AK$58</f>
        <v>0</v>
      </c>
      <c r="I44" s="138">
        <f t="shared" si="0"/>
        <v>0</v>
      </c>
      <c r="J44" s="138">
        <f t="shared" si="1"/>
        <v>0</v>
      </c>
      <c r="K44" s="138">
        <f t="shared" si="2"/>
        <v>0</v>
      </c>
    </row>
    <row r="45" spans="1:11">
      <c r="A45" s="140" t="s">
        <v>354</v>
      </c>
      <c r="B45" s="141"/>
      <c r="C45" s="125"/>
      <c r="D45" s="138">
        <f>+'[24]แผน ตปท'!$Z$59</f>
        <v>0</v>
      </c>
      <c r="E45" s="138"/>
      <c r="F45" s="138">
        <f>+'[24]แผน ตปท'!$AI$59</f>
        <v>0</v>
      </c>
      <c r="G45" s="138">
        <f>+'[24]แผน ตปท'!$AJ$59</f>
        <v>0</v>
      </c>
      <c r="H45" s="138">
        <f>+'[24]แผน ตปท'!$AK$59</f>
        <v>0</v>
      </c>
      <c r="I45" s="138">
        <f t="shared" si="0"/>
        <v>0</v>
      </c>
      <c r="J45" s="138">
        <f t="shared" si="1"/>
        <v>0</v>
      </c>
      <c r="K45" s="138">
        <f t="shared" si="2"/>
        <v>0</v>
      </c>
    </row>
    <row r="46" spans="1:11">
      <c r="A46" s="142"/>
      <c r="B46" s="141"/>
      <c r="C46" s="125"/>
      <c r="D46" s="138">
        <f>+'[24]แผน ตปท'!$Z$60</f>
        <v>0</v>
      </c>
      <c r="E46" s="138"/>
      <c r="F46" s="138">
        <f>+'[24]แผน ตปท'!$AI$60</f>
        <v>0</v>
      </c>
      <c r="G46" s="138">
        <f>+'[24]แผน ตปท'!$AJ$60</f>
        <v>0</v>
      </c>
      <c r="H46" s="138">
        <f>+'[24]แผน ตปท'!$AK$60</f>
        <v>0</v>
      </c>
      <c r="I46" s="138">
        <f t="shared" si="0"/>
        <v>0</v>
      </c>
      <c r="J46" s="138">
        <f t="shared" si="1"/>
        <v>0</v>
      </c>
      <c r="K46" s="138">
        <f t="shared" si="2"/>
        <v>0</v>
      </c>
    </row>
    <row r="47" spans="1:11" ht="42">
      <c r="A47" s="127">
        <v>4.0999999999999996</v>
      </c>
      <c r="B47" s="100" t="s">
        <v>355</v>
      </c>
      <c r="C47" s="144" t="s">
        <v>380</v>
      </c>
      <c r="D47" s="138">
        <f>+'[24]แผน ตปท'!$Z$61</f>
        <v>119900</v>
      </c>
      <c r="E47" s="138">
        <v>119900</v>
      </c>
      <c r="F47" s="138">
        <f>+'[24]แผน ตปท'!$AI$61</f>
        <v>0</v>
      </c>
      <c r="G47" s="138">
        <f>+'[24]แผน ตปท'!$AJ$61</f>
        <v>0</v>
      </c>
      <c r="H47" s="138">
        <f>+'[24]แผน ตปท'!$AK$61</f>
        <v>0</v>
      </c>
      <c r="I47" s="138">
        <f t="shared" si="0"/>
        <v>0</v>
      </c>
      <c r="J47" s="138">
        <f t="shared" si="1"/>
        <v>119900</v>
      </c>
      <c r="K47" s="138">
        <f t="shared" si="2"/>
        <v>119900</v>
      </c>
    </row>
    <row r="48" spans="1:11">
      <c r="A48" s="140" t="s">
        <v>356</v>
      </c>
      <c r="B48" s="141"/>
      <c r="C48" s="125"/>
      <c r="D48" s="138">
        <f>+'[24]แผน ตปท'!$Z$62</f>
        <v>0</v>
      </c>
      <c r="E48" s="138"/>
      <c r="F48" s="138">
        <f>+'[24]แผน ตปท'!$AI$62</f>
        <v>0</v>
      </c>
      <c r="G48" s="138">
        <f>+'[24]แผน ตปท'!$AJ$62</f>
        <v>0</v>
      </c>
      <c r="H48" s="138">
        <f>+'[24]แผน ตปท'!$AK$62</f>
        <v>0</v>
      </c>
      <c r="I48" s="138">
        <f t="shared" si="0"/>
        <v>0</v>
      </c>
      <c r="J48" s="138">
        <f t="shared" si="1"/>
        <v>0</v>
      </c>
      <c r="K48" s="138">
        <f t="shared" si="2"/>
        <v>0</v>
      </c>
    </row>
    <row r="49" spans="1:11">
      <c r="A49" s="140" t="s">
        <v>357</v>
      </c>
      <c r="B49" s="141"/>
      <c r="C49" s="139"/>
      <c r="D49" s="138">
        <f>+'[24]แผน ตปท'!$Z$63</f>
        <v>0</v>
      </c>
      <c r="E49" s="138"/>
      <c r="F49" s="138">
        <f>+'[24]แผน ตปท'!$AI$63</f>
        <v>0</v>
      </c>
      <c r="G49" s="138">
        <f>+'[24]แผน ตปท'!$AJ$63</f>
        <v>0</v>
      </c>
      <c r="H49" s="138">
        <f>+'[24]แผน ตปท'!$AK$63</f>
        <v>0</v>
      </c>
      <c r="I49" s="138">
        <f t="shared" si="0"/>
        <v>0</v>
      </c>
      <c r="J49" s="138">
        <f t="shared" si="1"/>
        <v>0</v>
      </c>
      <c r="K49" s="138">
        <f t="shared" si="2"/>
        <v>0</v>
      </c>
    </row>
    <row r="50" spans="1:11">
      <c r="A50" s="134"/>
      <c r="B50" s="124" t="s">
        <v>353</v>
      </c>
      <c r="C50" s="137"/>
      <c r="D50" s="138">
        <f>+'[24]แผน ตปท'!$Z$64</f>
        <v>0</v>
      </c>
      <c r="E50" s="138"/>
      <c r="F50" s="138">
        <f>+'[24]แผน ตปท'!$AI$64</f>
        <v>0</v>
      </c>
      <c r="G50" s="138">
        <f>+'[24]แผน ตปท'!$AJ$64</f>
        <v>0</v>
      </c>
      <c r="H50" s="138">
        <f>+'[24]แผน ตปท'!$AK$64</f>
        <v>0</v>
      </c>
      <c r="I50" s="138">
        <f t="shared" si="0"/>
        <v>0</v>
      </c>
      <c r="J50" s="138">
        <f t="shared" si="1"/>
        <v>0</v>
      </c>
      <c r="K50" s="138">
        <f t="shared" si="2"/>
        <v>0</v>
      </c>
    </row>
    <row r="51" spans="1:11">
      <c r="A51" s="140" t="s">
        <v>358</v>
      </c>
      <c r="B51" s="141"/>
      <c r="C51" s="125"/>
      <c r="D51" s="138">
        <f>+'[24]แผน ตปท'!$Z$65</f>
        <v>0</v>
      </c>
      <c r="E51" s="138"/>
      <c r="F51" s="138">
        <f>+'[24]แผน ตปท'!$AI$65</f>
        <v>0</v>
      </c>
      <c r="G51" s="138">
        <f>+'[24]แผน ตปท'!$AJ$65</f>
        <v>0</v>
      </c>
      <c r="H51" s="138">
        <f>+'[24]แผน ตปท'!$AK$65</f>
        <v>0</v>
      </c>
      <c r="I51" s="138">
        <f t="shared" si="0"/>
        <v>0</v>
      </c>
      <c r="J51" s="138">
        <f t="shared" si="1"/>
        <v>0</v>
      </c>
      <c r="K51" s="138">
        <f t="shared" si="2"/>
        <v>0</v>
      </c>
    </row>
    <row r="52" spans="1:11" ht="63">
      <c r="A52" s="127">
        <v>2.1</v>
      </c>
      <c r="B52" s="100" t="s">
        <v>359</v>
      </c>
      <c r="C52" s="144" t="s">
        <v>387</v>
      </c>
      <c r="D52" s="138">
        <f>+'[24]แผน ตปท'!$Z$66</f>
        <v>39500</v>
      </c>
      <c r="E52" s="138">
        <v>39500</v>
      </c>
      <c r="F52" s="138">
        <f>+'[24]แผน ตปท'!$AI$66</f>
        <v>0</v>
      </c>
      <c r="G52" s="138">
        <f>+'[24]แผน ตปท'!$AJ$66</f>
        <v>0</v>
      </c>
      <c r="H52" s="138">
        <f>+'[24]แผน ตปท'!$AK$66</f>
        <v>7300</v>
      </c>
      <c r="I52" s="138">
        <f t="shared" si="0"/>
        <v>7300</v>
      </c>
      <c r="J52" s="138">
        <f t="shared" si="1"/>
        <v>32200</v>
      </c>
      <c r="K52" s="138">
        <f t="shared" si="2"/>
        <v>32200</v>
      </c>
    </row>
    <row r="53" spans="1:11">
      <c r="A53" s="140" t="s">
        <v>360</v>
      </c>
      <c r="B53" s="141"/>
      <c r="C53" s="125"/>
      <c r="D53" s="138">
        <f>+'[24]แผน ตปท'!$Z$67</f>
        <v>0</v>
      </c>
      <c r="E53" s="138"/>
      <c r="F53" s="138">
        <f>+'[24]แผน ตปท'!$AI$67</f>
        <v>0</v>
      </c>
      <c r="G53" s="138">
        <f>+'[24]แผน ตปท'!$AJ$67</f>
        <v>0</v>
      </c>
      <c r="H53" s="138">
        <f>+'[24]แผน ตปท'!$AK$67</f>
        <v>0</v>
      </c>
      <c r="I53" s="138">
        <f t="shared" si="0"/>
        <v>0</v>
      </c>
      <c r="J53" s="138">
        <f t="shared" si="1"/>
        <v>0</v>
      </c>
      <c r="K53" s="138">
        <f t="shared" si="2"/>
        <v>0</v>
      </c>
    </row>
    <row r="54" spans="1:11">
      <c r="A54" s="127">
        <v>3.1</v>
      </c>
      <c r="B54" s="124" t="s">
        <v>361</v>
      </c>
      <c r="C54" s="122" t="s">
        <v>377</v>
      </c>
      <c r="D54" s="138">
        <f>+'[24]แผน ตปท'!$Z$68</f>
        <v>102500</v>
      </c>
      <c r="E54" s="138">
        <v>102500</v>
      </c>
      <c r="F54" s="138">
        <f>+'[24]แผน ตปท'!$AI$68</f>
        <v>0</v>
      </c>
      <c r="G54" s="138">
        <f>+'[24]แผน ตปท'!$AJ$68</f>
        <v>0</v>
      </c>
      <c r="H54" s="138">
        <f>+'[24]แผน ตปท'!$AK$68</f>
        <v>0</v>
      </c>
      <c r="I54" s="138">
        <f t="shared" si="0"/>
        <v>0</v>
      </c>
      <c r="J54" s="138">
        <f t="shared" si="1"/>
        <v>102500</v>
      </c>
      <c r="K54" s="138">
        <f t="shared" si="2"/>
        <v>102500</v>
      </c>
    </row>
    <row r="55" spans="1:11">
      <c r="A55" s="127">
        <v>3.1</v>
      </c>
      <c r="B55" s="124" t="s">
        <v>361</v>
      </c>
      <c r="C55" s="122" t="s">
        <v>385</v>
      </c>
      <c r="D55" s="138">
        <f>+'[24]แผน ตปท'!$Z$69</f>
        <v>450000</v>
      </c>
      <c r="E55" s="138"/>
      <c r="F55" s="138">
        <f>+'[24]แผน ตปท'!$AI$69</f>
        <v>0</v>
      </c>
      <c r="G55" s="138">
        <f>+'[24]แผน ตปท'!$AJ$69</f>
        <v>0</v>
      </c>
      <c r="H55" s="138">
        <f>+'[24]แผน ตปท'!$AK$69</f>
        <v>138471.18999999997</v>
      </c>
      <c r="I55" s="138">
        <f>+F55+G55+H55</f>
        <v>138471.18999999997</v>
      </c>
      <c r="J55" s="302">
        <f>+E55-I55</f>
        <v>-138471.18999999997</v>
      </c>
      <c r="K55" s="138">
        <f>+D55-I55</f>
        <v>311528.81000000006</v>
      </c>
    </row>
    <row r="56" spans="1:11">
      <c r="A56" s="127">
        <v>3.2</v>
      </c>
      <c r="B56" s="124" t="s">
        <v>362</v>
      </c>
      <c r="C56" s="122" t="s">
        <v>377</v>
      </c>
      <c r="D56" s="138">
        <f>+'[24]แผน ตปท'!$Z$70</f>
        <v>97500</v>
      </c>
      <c r="E56" s="138">
        <v>97500</v>
      </c>
      <c r="F56" s="138">
        <f>+'[24]แผน ตปท'!$AI$70</f>
        <v>0</v>
      </c>
      <c r="G56" s="138">
        <f>+'[24]แผน ตปท'!$AJ$70</f>
        <v>0</v>
      </c>
      <c r="H56" s="138">
        <f>+'[24]แผน ตปท'!$AK$70</f>
        <v>0</v>
      </c>
      <c r="I56" s="138">
        <f>+F56+G56+H56</f>
        <v>0</v>
      </c>
      <c r="J56" s="138">
        <f>+E56-I56</f>
        <v>97500</v>
      </c>
      <c r="K56" s="138">
        <f>+D56-I56</f>
        <v>97500</v>
      </c>
    </row>
    <row r="57" spans="1:11">
      <c r="A57" s="140" t="s">
        <v>363</v>
      </c>
      <c r="B57" s="141"/>
      <c r="C57" s="139"/>
      <c r="D57" s="138">
        <f>+'[24]แผน ตปท'!$Z$71</f>
        <v>0</v>
      </c>
      <c r="E57" s="260"/>
      <c r="F57" s="260"/>
      <c r="G57" s="260"/>
      <c r="H57" s="260"/>
      <c r="I57" s="260"/>
      <c r="J57" s="260"/>
      <c r="K57" s="260"/>
    </row>
    <row r="58" spans="1:11">
      <c r="A58" s="127">
        <v>4.0999999999999996</v>
      </c>
      <c r="B58" s="124" t="s">
        <v>364</v>
      </c>
      <c r="C58" s="144" t="s">
        <v>382</v>
      </c>
      <c r="D58" s="138">
        <f>+'[24]แผน ตปท'!$Z$72</f>
        <v>79850</v>
      </c>
      <c r="E58" s="138">
        <v>79850</v>
      </c>
      <c r="F58" s="138">
        <f>+'[24]แผน ตปท'!$AI$71</f>
        <v>0</v>
      </c>
      <c r="G58" s="138">
        <f>+'[24]แผน ตปท'!$AJ$71</f>
        <v>0</v>
      </c>
      <c r="H58" s="138">
        <f>+'[24]แผน ตปท'!$AK$71</f>
        <v>0</v>
      </c>
      <c r="I58" s="138">
        <f t="shared" si="0"/>
        <v>0</v>
      </c>
      <c r="J58" s="138">
        <f t="shared" si="1"/>
        <v>79850</v>
      </c>
      <c r="K58" s="138">
        <f>+D57-I58</f>
        <v>0</v>
      </c>
    </row>
    <row r="59" spans="1:11">
      <c r="A59" s="133"/>
      <c r="B59" s="124"/>
      <c r="C59" s="144" t="s">
        <v>382</v>
      </c>
      <c r="D59" s="138">
        <f>+'[24]แผน ตปท'!$Z$73</f>
        <v>73850</v>
      </c>
      <c r="E59" s="138">
        <v>73850</v>
      </c>
      <c r="F59" s="138">
        <f>+'[24]แผน ตปท'!$AI$72</f>
        <v>0</v>
      </c>
      <c r="G59" s="138">
        <f>+'[24]แผน ตปท'!$AJ$72</f>
        <v>0</v>
      </c>
      <c r="H59" s="138">
        <f>+'[24]แผน ตปท'!$AK$72</f>
        <v>0</v>
      </c>
      <c r="I59" s="138">
        <f t="shared" si="0"/>
        <v>0</v>
      </c>
      <c r="J59" s="138">
        <f t="shared" si="1"/>
        <v>73850</v>
      </c>
      <c r="K59" s="138">
        <f>+D58-I59</f>
        <v>79850</v>
      </c>
    </row>
    <row r="60" spans="1:11">
      <c r="A60" s="140" t="s">
        <v>365</v>
      </c>
      <c r="B60" s="141"/>
      <c r="C60" s="125"/>
      <c r="D60" s="138">
        <f>+'[24]แผน ตปท'!$Z$74</f>
        <v>0</v>
      </c>
      <c r="E60" s="138"/>
      <c r="F60" s="138">
        <f>+'[24]แผน ตปท'!$AI$73</f>
        <v>0</v>
      </c>
      <c r="G60" s="138">
        <f>+'[24]แผน ตปท'!$AJ$73</f>
        <v>0</v>
      </c>
      <c r="H60" s="138">
        <f>+'[24]แผน ตปท'!$AK$73</f>
        <v>0</v>
      </c>
      <c r="I60" s="138">
        <f t="shared" si="0"/>
        <v>0</v>
      </c>
      <c r="J60" s="138">
        <f t="shared" si="1"/>
        <v>0</v>
      </c>
      <c r="K60" s="138">
        <f>+D59-I60</f>
        <v>73850</v>
      </c>
    </row>
    <row r="61" spans="1:11" ht="84">
      <c r="A61" s="127">
        <v>5.0999999999999996</v>
      </c>
      <c r="B61" s="124" t="s">
        <v>366</v>
      </c>
      <c r="C61" s="144" t="s">
        <v>381</v>
      </c>
      <c r="D61" s="138">
        <f>+'[24]แผน ตปท'!$Z$75</f>
        <v>53400</v>
      </c>
      <c r="E61" s="138">
        <v>53400</v>
      </c>
      <c r="F61" s="138">
        <f>+'[24]แผน ตปท'!$AI$74</f>
        <v>0</v>
      </c>
      <c r="G61" s="138">
        <f>+'[24]แผน ตปท'!$AJ$74</f>
        <v>0</v>
      </c>
      <c r="H61" s="138">
        <f>+'[24]แผน ตปท'!$AK$74</f>
        <v>0</v>
      </c>
      <c r="I61" s="138">
        <f t="shared" si="0"/>
        <v>0</v>
      </c>
      <c r="J61" s="138">
        <f t="shared" si="1"/>
        <v>53400</v>
      </c>
      <c r="K61" s="138">
        <f t="shared" si="2"/>
        <v>53400</v>
      </c>
    </row>
    <row r="62" spans="1:11" ht="42">
      <c r="A62" s="127">
        <v>5.2</v>
      </c>
      <c r="B62" s="124" t="s">
        <v>367</v>
      </c>
      <c r="C62" s="144" t="s">
        <v>381</v>
      </c>
      <c r="D62" s="138">
        <f>+'[24]แผน ตปท'!$Z$76</f>
        <v>63100</v>
      </c>
      <c r="E62" s="138"/>
      <c r="F62" s="138">
        <f>+'[24]แผน ตปท'!$AI$75</f>
        <v>0</v>
      </c>
      <c r="G62" s="138">
        <f>+'[24]แผน ตปท'!$AJ$75</f>
        <v>0</v>
      </c>
      <c r="H62" s="138">
        <f>+'[24]แผน ตปท'!$AK$75</f>
        <v>0</v>
      </c>
      <c r="I62" s="138">
        <f t="shared" si="0"/>
        <v>0</v>
      </c>
      <c r="J62" s="138">
        <f t="shared" si="1"/>
        <v>0</v>
      </c>
      <c r="K62" s="138">
        <f t="shared" si="2"/>
        <v>63100</v>
      </c>
    </row>
    <row r="63" spans="1:11" ht="42">
      <c r="A63" s="127">
        <v>5.3</v>
      </c>
      <c r="B63" s="124" t="s">
        <v>368</v>
      </c>
      <c r="C63" s="144" t="s">
        <v>380</v>
      </c>
      <c r="D63" s="138">
        <f>+'[24]แผน ตปท'!$Z$77</f>
        <v>75600</v>
      </c>
      <c r="E63" s="138">
        <v>75600</v>
      </c>
      <c r="F63" s="138">
        <f>+'[24]แผน ตปท'!$AI$76</f>
        <v>0</v>
      </c>
      <c r="G63" s="138">
        <f>+'[24]แผน ตปท'!$AJ$76</f>
        <v>0</v>
      </c>
      <c r="H63" s="138">
        <f>+'[24]แผน ตปท'!$AK$76</f>
        <v>0</v>
      </c>
      <c r="I63" s="138">
        <f t="shared" si="0"/>
        <v>0</v>
      </c>
      <c r="J63" s="138">
        <f t="shared" si="1"/>
        <v>75600</v>
      </c>
      <c r="K63" s="138">
        <f t="shared" si="2"/>
        <v>75600</v>
      </c>
    </row>
    <row r="64" spans="1:11" ht="42">
      <c r="A64" s="127">
        <v>5.4</v>
      </c>
      <c r="B64" s="124" t="s">
        <v>369</v>
      </c>
      <c r="C64" s="144" t="s">
        <v>385</v>
      </c>
      <c r="D64" s="138">
        <f>+'[24]แผน ตปท'!$Z$78</f>
        <v>0</v>
      </c>
      <c r="E64" s="138"/>
      <c r="F64" s="138">
        <f>+'[24]แผน ตปท'!$AI$77</f>
        <v>0</v>
      </c>
      <c r="G64" s="138">
        <f>+'[24]แผน ตปท'!$AJ$77</f>
        <v>0</v>
      </c>
      <c r="H64" s="138">
        <f>+'[24]แผน ตปท'!$AK$77</f>
        <v>0</v>
      </c>
      <c r="I64" s="138">
        <f t="shared" si="0"/>
        <v>0</v>
      </c>
      <c r="J64" s="138">
        <f t="shared" si="1"/>
        <v>0</v>
      </c>
      <c r="K64" s="138">
        <f t="shared" si="2"/>
        <v>0</v>
      </c>
    </row>
    <row r="65" spans="1:11" ht="42">
      <c r="A65" s="126">
        <v>5.5</v>
      </c>
      <c r="B65" s="100" t="s">
        <v>370</v>
      </c>
      <c r="C65" s="144" t="s">
        <v>376</v>
      </c>
      <c r="D65" s="138">
        <f>+'[24]แผน ตปท'!$Z$80</f>
        <v>53400</v>
      </c>
      <c r="E65" s="138"/>
      <c r="F65" s="138">
        <f>+'[24]แผน ตปท'!$AI$79</f>
        <v>0</v>
      </c>
      <c r="G65" s="138">
        <f>+'[24]แผน ตปท'!$AJ$79</f>
        <v>0</v>
      </c>
      <c r="H65" s="138">
        <f>+'[24]แผน ตปท'!$AK$79</f>
        <v>0</v>
      </c>
      <c r="I65" s="138">
        <f t="shared" si="0"/>
        <v>0</v>
      </c>
      <c r="J65" s="138">
        <f t="shared" si="1"/>
        <v>0</v>
      </c>
      <c r="K65" s="138">
        <f t="shared" si="2"/>
        <v>53400</v>
      </c>
    </row>
    <row r="66" spans="1:11" ht="63">
      <c r="A66" s="127">
        <v>5.6</v>
      </c>
      <c r="B66" s="100" t="s">
        <v>371</v>
      </c>
      <c r="C66" s="144" t="s">
        <v>379</v>
      </c>
      <c r="D66" s="138">
        <f>+'[24]แผน ตปท'!$Z$81</f>
        <v>73900</v>
      </c>
      <c r="E66" s="138"/>
      <c r="F66" s="138">
        <f>+'[24]แผน ตปท'!$AI$80</f>
        <v>0</v>
      </c>
      <c r="G66" s="138">
        <f>+'[24]แผน ตปท'!$AJ$80</f>
        <v>0</v>
      </c>
      <c r="H66" s="138">
        <f>+'[24]แผน ตปท'!$AK$80</f>
        <v>0</v>
      </c>
      <c r="I66" s="138">
        <f t="shared" si="0"/>
        <v>0</v>
      </c>
      <c r="J66" s="138">
        <f t="shared" si="1"/>
        <v>0</v>
      </c>
      <c r="K66" s="138">
        <f t="shared" si="2"/>
        <v>73900</v>
      </c>
    </row>
    <row r="67" spans="1:11">
      <c r="A67" s="140" t="s">
        <v>372</v>
      </c>
      <c r="B67" s="141"/>
      <c r="C67" s="125"/>
      <c r="D67" s="138">
        <f>+'[24]แผน ตปท'!$Z$82</f>
        <v>0</v>
      </c>
      <c r="E67" s="138"/>
      <c r="F67" s="138">
        <f>+'[24]แผน ตปท'!$AI$81</f>
        <v>0</v>
      </c>
      <c r="G67" s="138">
        <f>+'[24]แผน ตปท'!$AJ$81</f>
        <v>0</v>
      </c>
      <c r="H67" s="138">
        <f>+'[24]แผน ตปท'!$AK$81</f>
        <v>0</v>
      </c>
      <c r="I67" s="138">
        <f t="shared" si="0"/>
        <v>0</v>
      </c>
      <c r="J67" s="138">
        <f t="shared" si="1"/>
        <v>0</v>
      </c>
      <c r="K67" s="138">
        <f t="shared" si="2"/>
        <v>0</v>
      </c>
    </row>
    <row r="68" spans="1:11" ht="63">
      <c r="A68" s="127">
        <v>6.1</v>
      </c>
      <c r="B68" s="124" t="s">
        <v>373</v>
      </c>
      <c r="C68" s="144" t="s">
        <v>383</v>
      </c>
      <c r="D68" s="138">
        <f>+'[24]แผน ตปท'!$Z$83</f>
        <v>249800</v>
      </c>
      <c r="E68" s="138">
        <v>249800</v>
      </c>
      <c r="F68" s="138">
        <f>+'[24]แผน ตปท'!$AI$82</f>
        <v>0</v>
      </c>
      <c r="G68" s="138">
        <f>+'[24]แผน ตปท'!$AJ$82</f>
        <v>0</v>
      </c>
      <c r="H68" s="138">
        <f>+'[24]แผน ตปท'!$AK$82</f>
        <v>0</v>
      </c>
      <c r="I68" s="138">
        <f t="shared" si="0"/>
        <v>0</v>
      </c>
      <c r="J68" s="138">
        <f t="shared" si="1"/>
        <v>249800</v>
      </c>
      <c r="K68" s="138">
        <f t="shared" si="2"/>
        <v>249800</v>
      </c>
    </row>
    <row r="69" spans="1:11">
      <c r="A69" s="140" t="s">
        <v>374</v>
      </c>
      <c r="B69" s="141"/>
      <c r="C69" s="125"/>
      <c r="D69" s="138">
        <f>+'[24]แผน ตปท'!$Z$84</f>
        <v>0</v>
      </c>
      <c r="E69" s="138"/>
      <c r="F69" s="138">
        <f>+'[24]แผน ตปท'!$AI$84</f>
        <v>0</v>
      </c>
      <c r="G69" s="138">
        <f>+'[24]แผน ตปท'!$AJ$84</f>
        <v>0</v>
      </c>
      <c r="H69" s="138">
        <f>+'[24]แผน ตปท'!$AK$84</f>
        <v>0</v>
      </c>
      <c r="I69" s="138">
        <f t="shared" si="0"/>
        <v>0</v>
      </c>
      <c r="J69" s="138">
        <f t="shared" si="1"/>
        <v>0</v>
      </c>
      <c r="K69" s="138">
        <f t="shared" si="2"/>
        <v>0</v>
      </c>
    </row>
    <row r="70" spans="1:11">
      <c r="A70" s="127">
        <v>7.1</v>
      </c>
      <c r="B70" s="124" t="s">
        <v>375</v>
      </c>
      <c r="C70" s="144" t="s">
        <v>388</v>
      </c>
      <c r="D70" s="138">
        <f>+'[24]แผน ตปท'!$X$86</f>
        <v>150000</v>
      </c>
      <c r="E70" s="138">
        <v>150000</v>
      </c>
      <c r="F70" s="138">
        <f>+'[24]แผน ตปท'!$AI$85</f>
        <v>0</v>
      </c>
      <c r="G70" s="138">
        <f>+'[24]แผน ตปท'!$AJ$85</f>
        <v>0</v>
      </c>
      <c r="H70" s="138">
        <f>+'[24]แผน ตปท'!$AK$85</f>
        <v>0</v>
      </c>
      <c r="I70" s="138">
        <f t="shared" si="0"/>
        <v>0</v>
      </c>
      <c r="J70" s="138">
        <f t="shared" si="1"/>
        <v>150000</v>
      </c>
      <c r="K70" s="138">
        <f t="shared" si="2"/>
        <v>150000</v>
      </c>
    </row>
    <row r="71" spans="1:11" s="143" customFormat="1" ht="21.75" thickBot="1">
      <c r="A71" s="146"/>
      <c r="B71" s="147" t="s">
        <v>11</v>
      </c>
      <c r="C71" s="148"/>
      <c r="D71" s="148">
        <f t="shared" ref="D71:K71" si="3">SUM(D7:D70)</f>
        <v>4000000</v>
      </c>
      <c r="E71" s="148">
        <f t="shared" si="3"/>
        <v>2000000</v>
      </c>
      <c r="F71" s="148">
        <f t="shared" si="3"/>
        <v>0</v>
      </c>
      <c r="G71" s="148">
        <f t="shared" si="3"/>
        <v>1000</v>
      </c>
      <c r="H71" s="148">
        <f t="shared" si="3"/>
        <v>227461.49999999997</v>
      </c>
      <c r="I71" s="148">
        <f t="shared" si="3"/>
        <v>228461.49999999997</v>
      </c>
      <c r="J71" s="148">
        <f t="shared" si="3"/>
        <v>1771538.5</v>
      </c>
      <c r="K71" s="148">
        <f t="shared" si="3"/>
        <v>3771538.5</v>
      </c>
    </row>
    <row r="72" spans="1:11" ht="21.75" thickTop="1"/>
  </sheetData>
  <mergeCells count="3">
    <mergeCell ref="A1:K1"/>
    <mergeCell ref="A2:K2"/>
    <mergeCell ref="A3:K3"/>
  </mergeCells>
  <pageMargins left="0.15748031496062992" right="0.15748031496062992" top="0.37" bottom="0.23622047244094491" header="0.19685039370078741" footer="0.15748031496062992"/>
  <pageSetup paperSize="9" scale="80" orientation="landscape" verticalDpi="0" r:id="rId1"/>
  <headerFooter>
    <oddHeader>&amp;R&amp;P/&amp;N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D15" sqref="D15"/>
    </sheetView>
  </sheetViews>
  <sheetFormatPr defaultRowHeight="14.25"/>
  <cols>
    <col min="1" max="1" width="5.375" customWidth="1"/>
    <col min="2" max="2" width="24.375" customWidth="1"/>
    <col min="3" max="3" width="15.125" customWidth="1"/>
    <col min="4" max="4" width="14.75" customWidth="1"/>
    <col min="5" max="5" width="11.125" customWidth="1"/>
    <col min="6" max="6" width="7.875" customWidth="1"/>
    <col min="7" max="7" width="11.625" customWidth="1"/>
    <col min="8" max="8" width="7.75" customWidth="1"/>
    <col min="9" max="9" width="11.625" customWidth="1"/>
    <col min="11" max="11" width="13.875" customWidth="1"/>
    <col min="12" max="12" width="7.5" customWidth="1"/>
    <col min="13" max="13" width="14.5" customWidth="1"/>
    <col min="14" max="14" width="7" customWidth="1"/>
    <col min="15" max="15" width="14.875" customWidth="1"/>
    <col min="17" max="17" width="14.25" customWidth="1"/>
    <col min="18" max="18" width="8.875" customWidth="1"/>
  </cols>
  <sheetData>
    <row r="1" spans="1:25" ht="21">
      <c r="A1" s="1022" t="s">
        <v>189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  <c r="M1" s="1022"/>
      <c r="N1" s="1022"/>
      <c r="O1" s="1022"/>
      <c r="P1" s="1022"/>
      <c r="Q1" s="1022"/>
      <c r="R1" s="1022"/>
      <c r="S1" s="56"/>
      <c r="T1" s="56"/>
      <c r="U1" s="56"/>
      <c r="V1" s="56"/>
      <c r="W1" s="56"/>
      <c r="X1" s="56"/>
      <c r="Y1" s="57"/>
    </row>
    <row r="2" spans="1:25" ht="21">
      <c r="A2" s="1022" t="s">
        <v>190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022"/>
      <c r="N2" s="1022"/>
      <c r="O2" s="1022"/>
      <c r="P2" s="1022"/>
      <c r="Q2" s="1022"/>
      <c r="R2" s="1022"/>
      <c r="S2" s="56"/>
      <c r="T2" s="56"/>
      <c r="U2" s="56"/>
      <c r="V2" s="56"/>
      <c r="W2" s="56"/>
      <c r="X2" s="56"/>
      <c r="Y2" s="57"/>
    </row>
    <row r="3" spans="1:25" ht="21">
      <c r="A3" s="1092" t="str">
        <f>+งบดำเนินงาน!A3</f>
        <v>ตั้งแต่วันที่ 1 ตุลาคม 2565 - 31 ธันวาคม 2565</v>
      </c>
      <c r="B3" s="1092"/>
      <c r="C3" s="1092"/>
      <c r="D3" s="1092"/>
      <c r="E3" s="1092"/>
      <c r="F3" s="1092"/>
      <c r="G3" s="1092"/>
      <c r="H3" s="1092"/>
      <c r="I3" s="1092"/>
      <c r="J3" s="1092"/>
      <c r="K3" s="1092"/>
      <c r="L3" s="1092"/>
      <c r="M3" s="1092"/>
      <c r="N3" s="1092"/>
      <c r="O3" s="1092"/>
      <c r="P3" s="1092"/>
      <c r="Q3" s="1092"/>
      <c r="R3" s="1092"/>
      <c r="S3" s="52"/>
      <c r="T3" s="52"/>
      <c r="U3" s="52"/>
      <c r="V3" s="52"/>
      <c r="W3" s="52"/>
      <c r="X3" s="52"/>
      <c r="Y3" s="57"/>
    </row>
    <row r="4" spans="1:25" s="55" customFormat="1" ht="21">
      <c r="A4" s="53"/>
      <c r="B4" s="53"/>
      <c r="C4" s="60" t="s">
        <v>191</v>
      </c>
      <c r="D4" s="60" t="s">
        <v>192</v>
      </c>
      <c r="E4" s="60" t="s">
        <v>193</v>
      </c>
      <c r="F4" s="60"/>
      <c r="G4" s="60" t="s">
        <v>194</v>
      </c>
      <c r="H4" s="60"/>
      <c r="I4" s="60" t="s">
        <v>195</v>
      </c>
      <c r="J4" s="60"/>
      <c r="K4" s="60" t="s">
        <v>196</v>
      </c>
      <c r="L4" s="60"/>
      <c r="M4" s="1054" t="s">
        <v>197</v>
      </c>
      <c r="N4" s="1054"/>
      <c r="O4" s="60" t="s">
        <v>198</v>
      </c>
      <c r="P4" s="60"/>
      <c r="Q4" s="60" t="s">
        <v>199</v>
      </c>
      <c r="R4" s="53"/>
      <c r="S4" s="54"/>
      <c r="T4" s="54"/>
      <c r="U4" s="54"/>
      <c r="V4" s="54"/>
      <c r="W4" s="54"/>
      <c r="X4" s="54"/>
      <c r="Y4" s="58"/>
    </row>
    <row r="5" spans="1:25" s="36" customFormat="1" ht="21" customHeight="1">
      <c r="A5" s="1081" t="s">
        <v>106</v>
      </c>
      <c r="B5" s="1082" t="s">
        <v>167</v>
      </c>
      <c r="C5" s="1059" t="s">
        <v>118</v>
      </c>
      <c r="D5" s="1059" t="s">
        <v>131</v>
      </c>
      <c r="E5" s="1027" t="s">
        <v>5</v>
      </c>
      <c r="F5" s="1027"/>
      <c r="G5" s="1028" t="s">
        <v>6</v>
      </c>
      <c r="H5" s="1028"/>
      <c r="I5" s="1017" t="s">
        <v>7</v>
      </c>
      <c r="J5" s="1017"/>
      <c r="K5" s="1018" t="s">
        <v>127</v>
      </c>
      <c r="L5" s="1018"/>
      <c r="M5" s="1093" t="s">
        <v>121</v>
      </c>
      <c r="N5" s="1093"/>
      <c r="O5" s="1008" t="s">
        <v>128</v>
      </c>
      <c r="P5" s="1008"/>
      <c r="Q5" s="1008" t="s">
        <v>129</v>
      </c>
      <c r="R5" s="1008"/>
    </row>
    <row r="6" spans="1:25" s="36" customFormat="1" ht="21">
      <c r="A6" s="1081"/>
      <c r="B6" s="1082"/>
      <c r="C6" s="1059"/>
      <c r="D6" s="1059"/>
      <c r="E6" s="50" t="s">
        <v>119</v>
      </c>
      <c r="F6" s="50" t="s">
        <v>124</v>
      </c>
      <c r="G6" s="50" t="s">
        <v>119</v>
      </c>
      <c r="H6" s="50" t="s">
        <v>124</v>
      </c>
      <c r="I6" s="50" t="s">
        <v>119</v>
      </c>
      <c r="J6" s="50" t="s">
        <v>124</v>
      </c>
      <c r="K6" s="50" t="s">
        <v>119</v>
      </c>
      <c r="L6" s="50" t="s">
        <v>124</v>
      </c>
      <c r="M6" s="50" t="s">
        <v>119</v>
      </c>
      <c r="N6" s="50" t="s">
        <v>124</v>
      </c>
      <c r="O6" s="50" t="s">
        <v>119</v>
      </c>
      <c r="P6" s="50" t="s">
        <v>124</v>
      </c>
      <c r="Q6" s="50" t="s">
        <v>119</v>
      </c>
      <c r="R6" s="50" t="s">
        <v>124</v>
      </c>
    </row>
    <row r="7" spans="1:25" s="1" customFormat="1" ht="21">
      <c r="A7" s="1083" t="s">
        <v>180</v>
      </c>
      <c r="B7" s="1083"/>
      <c r="C7" s="41"/>
      <c r="D7" s="41"/>
      <c r="E7" s="41"/>
      <c r="F7" s="41"/>
      <c r="G7" s="41"/>
      <c r="H7" s="41"/>
      <c r="I7" s="41"/>
      <c r="J7" s="41"/>
      <c r="K7" s="41"/>
      <c r="L7" s="41"/>
      <c r="M7" s="48"/>
      <c r="N7" s="41"/>
      <c r="O7" s="48">
        <f>+D7-M7</f>
        <v>0</v>
      </c>
      <c r="P7" s="41"/>
      <c r="Q7" s="48">
        <f>+C7-M7</f>
        <v>0</v>
      </c>
      <c r="R7" s="41"/>
    </row>
    <row r="8" spans="1:25" s="1" customFormat="1" ht="21">
      <c r="A8" s="41">
        <v>1</v>
      </c>
      <c r="B8" s="51" t="s">
        <v>85</v>
      </c>
      <c r="C8" s="48">
        <f>+DATA!K141</f>
        <v>10175636</v>
      </c>
      <c r="D8" s="48">
        <f>+DATA!L141</f>
        <v>4029386</v>
      </c>
      <c r="E8" s="48">
        <f>+DATA!M141</f>
        <v>0</v>
      </c>
      <c r="F8" s="48">
        <f>+E8*100/D8</f>
        <v>0</v>
      </c>
      <c r="G8" s="48">
        <f>+DATA!N141</f>
        <v>0</v>
      </c>
      <c r="H8" s="48">
        <f>+G8*100/D8</f>
        <v>0</v>
      </c>
      <c r="I8" s="48">
        <f>+DATA!O141</f>
        <v>0</v>
      </c>
      <c r="J8" s="48">
        <f>+I8*100/D8</f>
        <v>0</v>
      </c>
      <c r="K8" s="48">
        <f>+DATA!P141</f>
        <v>1629840</v>
      </c>
      <c r="L8" s="48">
        <f>+K8*100/D8</f>
        <v>40.448842578000715</v>
      </c>
      <c r="M8" s="48">
        <f>+E8+G8+I8+K8</f>
        <v>1629840</v>
      </c>
      <c r="N8" s="48">
        <f>+M8*100/D8</f>
        <v>40.448842578000715</v>
      </c>
      <c r="O8" s="48">
        <f>+D8-M8</f>
        <v>2399546</v>
      </c>
      <c r="P8" s="48">
        <f>+O8*100/D8</f>
        <v>59.551157421999285</v>
      </c>
      <c r="Q8" s="48">
        <f>+C8-M8</f>
        <v>8545796</v>
      </c>
      <c r="R8" s="48">
        <f>+Q8*100/C8</f>
        <v>83.982917627949746</v>
      </c>
      <c r="S8" s="2"/>
      <c r="T8" s="2"/>
    </row>
    <row r="9" spans="1:25" s="1" customFormat="1" ht="21">
      <c r="A9" s="41">
        <v>2</v>
      </c>
      <c r="B9" s="51" t="s">
        <v>83</v>
      </c>
      <c r="C9" s="48">
        <f>+DATA!K140</f>
        <v>8407500</v>
      </c>
      <c r="D9" s="48">
        <f>+DATA!L140</f>
        <v>4203750</v>
      </c>
      <c r="E9" s="48">
        <f>+DATA!M140</f>
        <v>0</v>
      </c>
      <c r="F9" s="48">
        <f>+E9*100/D9</f>
        <v>0</v>
      </c>
      <c r="G9" s="48">
        <f>+DATA!N140</f>
        <v>47306.5</v>
      </c>
      <c r="H9" s="48">
        <f>+G9*100/D9</f>
        <v>1.1253404698186142</v>
      </c>
      <c r="I9" s="48">
        <f>+DATA!O140</f>
        <v>0</v>
      </c>
      <c r="J9" s="48">
        <f>+I9*100/D9</f>
        <v>0</v>
      </c>
      <c r="K9" s="48">
        <f>+DATA!P140</f>
        <v>1342112</v>
      </c>
      <c r="L9" s="48">
        <f>+K9*100/D9</f>
        <v>31.926541778174251</v>
      </c>
      <c r="M9" s="48">
        <f>+E9+G9+I9+K9</f>
        <v>1389418.5</v>
      </c>
      <c r="N9" s="48">
        <f>+M9*100/D9</f>
        <v>33.051882247992864</v>
      </c>
      <c r="O9" s="48">
        <f>+D9-M9</f>
        <v>2814331.5</v>
      </c>
      <c r="P9" s="48">
        <f>+O9*100/D9</f>
        <v>66.948117752007136</v>
      </c>
      <c r="Q9" s="48">
        <f>+C9-M9</f>
        <v>7018081.5</v>
      </c>
      <c r="R9" s="48">
        <f>+Q9*100/C9</f>
        <v>83.474058876003568</v>
      </c>
      <c r="S9" s="2"/>
      <c r="T9" s="2"/>
    </row>
    <row r="10" spans="1:25" s="37" customFormat="1" ht="21.75" thickBot="1">
      <c r="A10" s="216"/>
      <c r="B10" s="217" t="s">
        <v>184</v>
      </c>
      <c r="C10" s="43">
        <f>+C9+C8</f>
        <v>18583136</v>
      </c>
      <c r="D10" s="43">
        <f>+D9+D8</f>
        <v>8233136</v>
      </c>
      <c r="E10" s="43">
        <f>+E9+E8</f>
        <v>0</v>
      </c>
      <c r="F10" s="43">
        <f t="shared" ref="F10" si="0">+E10*100/D10</f>
        <v>0</v>
      </c>
      <c r="G10" s="43">
        <f>+G9+G8</f>
        <v>47306.5</v>
      </c>
      <c r="H10" s="43">
        <f t="shared" ref="H10" si="1">+G10*100/D10</f>
        <v>0.57458664596333642</v>
      </c>
      <c r="I10" s="43">
        <f>+I9+I8</f>
        <v>0</v>
      </c>
      <c r="J10" s="43">
        <f>+J9+J8</f>
        <v>0</v>
      </c>
      <c r="K10" s="43">
        <f>+K9+K8</f>
        <v>2971952</v>
      </c>
      <c r="L10" s="43">
        <f>+K10*100/D10</f>
        <v>36.097448165559271</v>
      </c>
      <c r="M10" s="43">
        <f>+M9+M8</f>
        <v>3019258.5</v>
      </c>
      <c r="N10" s="43">
        <f>+M10*100/D10</f>
        <v>36.672034811522607</v>
      </c>
      <c r="O10" s="43">
        <f>+O9+O8</f>
        <v>5213877.5</v>
      </c>
      <c r="P10" s="43">
        <f>+O10*100/D10</f>
        <v>63.327965188477393</v>
      </c>
      <c r="Q10" s="43">
        <f>+Q9+Q8</f>
        <v>15563877.5</v>
      </c>
      <c r="R10" s="43">
        <f t="shared" ref="R10" si="2">+Q10*100/C10</f>
        <v>83.752696530876165</v>
      </c>
      <c r="S10" s="2"/>
      <c r="T10" s="2"/>
    </row>
    <row r="11" spans="1:25" ht="15" thickTop="1"/>
  </sheetData>
  <mergeCells count="16">
    <mergeCell ref="M4:N4"/>
    <mergeCell ref="A1:R1"/>
    <mergeCell ref="A2:R2"/>
    <mergeCell ref="A3:R3"/>
    <mergeCell ref="G5:H5"/>
    <mergeCell ref="I5:J5"/>
    <mergeCell ref="K5:L5"/>
    <mergeCell ref="M5:N5"/>
    <mergeCell ref="O5:P5"/>
    <mergeCell ref="Q5:R5"/>
    <mergeCell ref="E5:F5"/>
    <mergeCell ref="A7:B7"/>
    <mergeCell ref="A5:A6"/>
    <mergeCell ref="B5:B6"/>
    <mergeCell ref="C5:C6"/>
    <mergeCell ref="D5:D6"/>
  </mergeCells>
  <pageMargins left="0.15748031496062992" right="0.15748031496062992" top="0.43307086614173229" bottom="0.74803149606299213" header="0.31496062992125984" footer="0.31496062992125984"/>
  <pageSetup paperSize="9" scale="65" orientation="landscape" verticalDpi="0" r:id="rId1"/>
  <headerFooter>
    <oddHeader>&amp;R&amp;P/&amp;N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K17" sqref="K17"/>
    </sheetView>
  </sheetViews>
  <sheetFormatPr defaultRowHeight="14.25"/>
  <cols>
    <col min="1" max="1" width="5.125" customWidth="1"/>
    <col min="2" max="2" width="16.125" customWidth="1"/>
    <col min="3" max="3" width="13.5" customWidth="1"/>
    <col min="4" max="4" width="13.75" customWidth="1"/>
    <col min="9" max="9" width="8.625" customWidth="1"/>
    <col min="11" max="11" width="12.5" customWidth="1"/>
    <col min="13" max="13" width="11.875" customWidth="1"/>
    <col min="15" max="15" width="10.875" customWidth="1"/>
    <col min="16" max="16" width="7.875" customWidth="1"/>
    <col min="17" max="17" width="9.875" customWidth="1"/>
    <col min="18" max="18" width="7.75" customWidth="1"/>
  </cols>
  <sheetData>
    <row r="1" spans="1:25" ht="21">
      <c r="A1" s="1022" t="s">
        <v>189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  <c r="M1" s="1022"/>
      <c r="N1" s="1022"/>
      <c r="O1" s="1022"/>
      <c r="P1" s="1022"/>
      <c r="Q1" s="1022"/>
      <c r="R1" s="1022"/>
      <c r="S1" s="56"/>
      <c r="T1" s="56"/>
      <c r="U1" s="56"/>
      <c r="V1" s="56"/>
      <c r="W1" s="56"/>
      <c r="X1" s="56"/>
      <c r="Y1" s="57"/>
    </row>
    <row r="2" spans="1:25" ht="21">
      <c r="A2" s="1022" t="s">
        <v>429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022"/>
      <c r="N2" s="1022"/>
      <c r="O2" s="1022"/>
      <c r="P2" s="1022"/>
      <c r="Q2" s="1022"/>
      <c r="R2" s="1022"/>
      <c r="S2" s="56"/>
      <c r="T2" s="56"/>
      <c r="U2" s="56"/>
      <c r="V2" s="56"/>
      <c r="W2" s="56"/>
      <c r="X2" s="56"/>
      <c r="Y2" s="57"/>
    </row>
    <row r="3" spans="1:25" ht="21">
      <c r="A3" s="1092" t="str">
        <f>+งบดำเนินงาน!A3</f>
        <v>ตั้งแต่วันที่ 1 ตุลาคม 2565 - 31 ธันวาคม 2565</v>
      </c>
      <c r="B3" s="1092"/>
      <c r="C3" s="1092"/>
      <c r="D3" s="1092"/>
      <c r="E3" s="1092"/>
      <c r="F3" s="1092"/>
      <c r="G3" s="1092"/>
      <c r="H3" s="1092"/>
      <c r="I3" s="1092"/>
      <c r="J3" s="1092"/>
      <c r="K3" s="1092"/>
      <c r="L3" s="1092"/>
      <c r="M3" s="1092"/>
      <c r="N3" s="1092"/>
      <c r="O3" s="1092"/>
      <c r="P3" s="1092"/>
      <c r="Q3" s="1092"/>
      <c r="R3" s="1092"/>
      <c r="S3" s="52"/>
      <c r="T3" s="52"/>
      <c r="U3" s="52"/>
      <c r="V3" s="52"/>
      <c r="W3" s="52"/>
      <c r="X3" s="52"/>
      <c r="Y3" s="57"/>
    </row>
    <row r="4" spans="1:25" s="55" customFormat="1" ht="21">
      <c r="A4" s="53"/>
      <c r="B4" s="53"/>
      <c r="C4" s="245" t="s">
        <v>191</v>
      </c>
      <c r="D4" s="245" t="s">
        <v>192</v>
      </c>
      <c r="E4" s="245" t="s">
        <v>193</v>
      </c>
      <c r="F4" s="245"/>
      <c r="G4" s="245" t="s">
        <v>194</v>
      </c>
      <c r="H4" s="245"/>
      <c r="I4" s="245" t="s">
        <v>195</v>
      </c>
      <c r="J4" s="245"/>
      <c r="K4" s="245" t="s">
        <v>196</v>
      </c>
      <c r="L4" s="245"/>
      <c r="M4" s="1054" t="s">
        <v>197</v>
      </c>
      <c r="N4" s="1054"/>
      <c r="O4" s="245" t="s">
        <v>198</v>
      </c>
      <c r="P4" s="245"/>
      <c r="Q4" s="245" t="s">
        <v>199</v>
      </c>
      <c r="R4" s="53"/>
      <c r="S4" s="54"/>
      <c r="T4" s="54"/>
      <c r="U4" s="54"/>
      <c r="V4" s="54"/>
      <c r="W4" s="54"/>
      <c r="X4" s="54"/>
      <c r="Y4" s="58"/>
    </row>
    <row r="5" spans="1:25" s="36" customFormat="1" ht="21" customHeight="1">
      <c r="A5" s="1081" t="s">
        <v>106</v>
      </c>
      <c r="B5" s="1082" t="s">
        <v>167</v>
      </c>
      <c r="C5" s="1059" t="s">
        <v>118</v>
      </c>
      <c r="D5" s="1059" t="s">
        <v>131</v>
      </c>
      <c r="E5" s="1027" t="s">
        <v>5</v>
      </c>
      <c r="F5" s="1027"/>
      <c r="G5" s="1028" t="s">
        <v>6</v>
      </c>
      <c r="H5" s="1028"/>
      <c r="I5" s="1017" t="s">
        <v>7</v>
      </c>
      <c r="J5" s="1017"/>
      <c r="K5" s="1018" t="s">
        <v>127</v>
      </c>
      <c r="L5" s="1018"/>
      <c r="M5" s="1093" t="s">
        <v>121</v>
      </c>
      <c r="N5" s="1093"/>
      <c r="O5" s="1008" t="s">
        <v>128</v>
      </c>
      <c r="P5" s="1008"/>
      <c r="Q5" s="1008" t="s">
        <v>129</v>
      </c>
      <c r="R5" s="1008"/>
    </row>
    <row r="6" spans="1:25" s="36" customFormat="1" ht="21">
      <c r="A6" s="1081"/>
      <c r="B6" s="1082"/>
      <c r="C6" s="1059"/>
      <c r="D6" s="1059"/>
      <c r="E6" s="246" t="s">
        <v>119</v>
      </c>
      <c r="F6" s="246" t="s">
        <v>124</v>
      </c>
      <c r="G6" s="246" t="s">
        <v>119</v>
      </c>
      <c r="H6" s="246" t="s">
        <v>124</v>
      </c>
      <c r="I6" s="246" t="s">
        <v>119</v>
      </c>
      <c r="J6" s="246" t="s">
        <v>124</v>
      </c>
      <c r="K6" s="246" t="s">
        <v>119</v>
      </c>
      <c r="L6" s="246" t="s">
        <v>124</v>
      </c>
      <c r="M6" s="246" t="s">
        <v>119</v>
      </c>
      <c r="N6" s="246" t="s">
        <v>124</v>
      </c>
      <c r="O6" s="246" t="s">
        <v>119</v>
      </c>
      <c r="P6" s="246" t="s">
        <v>124</v>
      </c>
      <c r="Q6" s="246" t="s">
        <v>119</v>
      </c>
      <c r="R6" s="246" t="s">
        <v>124</v>
      </c>
    </row>
    <row r="7" spans="1:25" s="1" customFormat="1" ht="21">
      <c r="A7" s="1083" t="s">
        <v>179</v>
      </c>
      <c r="B7" s="1083"/>
      <c r="C7" s="41"/>
      <c r="D7" s="41"/>
      <c r="E7" s="41"/>
      <c r="F7" s="41"/>
      <c r="G7" s="41"/>
      <c r="H7" s="41"/>
      <c r="I7" s="41"/>
      <c r="J7" s="41"/>
      <c r="K7" s="41"/>
      <c r="L7" s="41"/>
      <c r="M7" s="48"/>
      <c r="N7" s="41"/>
      <c r="O7" s="48">
        <f>+D7-M7</f>
        <v>0</v>
      </c>
      <c r="P7" s="41"/>
      <c r="Q7" s="48">
        <f>+C7-M7</f>
        <v>0</v>
      </c>
      <c r="R7" s="41"/>
    </row>
    <row r="8" spans="1:25" s="1" customFormat="1" ht="21">
      <c r="A8" s="41">
        <v>1</v>
      </c>
      <c r="B8" s="51" t="s">
        <v>84</v>
      </c>
      <c r="C8" s="48">
        <f>+'[26]ผ2ผ1 -1.1'!$M$2</f>
        <v>15000</v>
      </c>
      <c r="D8" s="48">
        <f>+'[26]ผ2ผ1 -1.1'!$N$2</f>
        <v>15000</v>
      </c>
      <c r="E8" s="48">
        <f>+'[26]ผ2ผ1 -1.1'!$O$2</f>
        <v>0</v>
      </c>
      <c r="F8" s="48">
        <f>+E8*100/D8</f>
        <v>0</v>
      </c>
      <c r="G8" s="48">
        <f>+'[26]ผ2ผ1 -1.1'!$P$2</f>
        <v>0</v>
      </c>
      <c r="H8" s="48">
        <f>+G8*100/D8</f>
        <v>0</v>
      </c>
      <c r="I8" s="48">
        <f>+'[26]ผ2ผ1 -1.1'!$Q$2</f>
        <v>0</v>
      </c>
      <c r="J8" s="48">
        <f>+I8*100/D8</f>
        <v>0</v>
      </c>
      <c r="K8" s="48">
        <f>+'[26]ผ2ผ1 -1.1'!$R$2</f>
        <v>15000</v>
      </c>
      <c r="L8" s="48">
        <f>+K8*100/D8</f>
        <v>100</v>
      </c>
      <c r="M8" s="48">
        <f>+E8+G8+I8+K8</f>
        <v>15000</v>
      </c>
      <c r="N8" s="48">
        <f>+M8*100/D8</f>
        <v>100</v>
      </c>
      <c r="O8" s="48">
        <f>+D8-M8</f>
        <v>0</v>
      </c>
      <c r="P8" s="48">
        <f>+O8*100/D8</f>
        <v>0</v>
      </c>
      <c r="Q8" s="48">
        <f>+C8-M8</f>
        <v>0</v>
      </c>
      <c r="R8" s="48">
        <f>+Q8*100/C8</f>
        <v>0</v>
      </c>
    </row>
    <row r="9" spans="1:25" s="1" customFormat="1" ht="21">
      <c r="A9" s="41"/>
      <c r="B9" s="51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25" s="37" customFormat="1" ht="21.75" thickBot="1">
      <c r="A10" s="1006" t="s">
        <v>187</v>
      </c>
      <c r="B10" s="1007"/>
      <c r="C10" s="43">
        <f>+C8+C9</f>
        <v>15000</v>
      </c>
      <c r="D10" s="43">
        <f>+D8+D9</f>
        <v>15000</v>
      </c>
      <c r="E10" s="43">
        <f>+E8+E9</f>
        <v>0</v>
      </c>
      <c r="F10" s="43">
        <f t="shared" ref="F10" si="0">+E10*100/D10</f>
        <v>0</v>
      </c>
      <c r="G10" s="43">
        <f>+G8+G9</f>
        <v>0</v>
      </c>
      <c r="H10" s="43">
        <f t="shared" ref="H10" si="1">+G10*100/D10</f>
        <v>0</v>
      </c>
      <c r="I10" s="43">
        <f t="shared" ref="I10:Q10" si="2">+I8+I9</f>
        <v>0</v>
      </c>
      <c r="J10" s="43">
        <f t="shared" si="2"/>
        <v>0</v>
      </c>
      <c r="K10" s="43">
        <f t="shared" si="2"/>
        <v>15000</v>
      </c>
      <c r="L10" s="43">
        <f t="shared" si="2"/>
        <v>100</v>
      </c>
      <c r="M10" s="43">
        <f t="shared" si="2"/>
        <v>15000</v>
      </c>
      <c r="N10" s="43">
        <f>+M10*100/D10</f>
        <v>100</v>
      </c>
      <c r="O10" s="43">
        <f t="shared" si="2"/>
        <v>0</v>
      </c>
      <c r="P10" s="43">
        <f>+O10*100/D10</f>
        <v>0</v>
      </c>
      <c r="Q10" s="43">
        <f t="shared" si="2"/>
        <v>0</v>
      </c>
      <c r="R10" s="43">
        <f t="shared" ref="R10" si="3">+Q10*100/C10</f>
        <v>0</v>
      </c>
    </row>
    <row r="11" spans="1:25" ht="15" thickTop="1"/>
  </sheetData>
  <mergeCells count="17">
    <mergeCell ref="A10:B10"/>
    <mergeCell ref="I5:J5"/>
    <mergeCell ref="K5:L5"/>
    <mergeCell ref="M5:N5"/>
    <mergeCell ref="O5:P5"/>
    <mergeCell ref="Q5:R5"/>
    <mergeCell ref="A7:B7"/>
    <mergeCell ref="A1:R1"/>
    <mergeCell ref="A2:R2"/>
    <mergeCell ref="A3:R3"/>
    <mergeCell ref="M4:N4"/>
    <mergeCell ref="A5:A6"/>
    <mergeCell ref="B5:B6"/>
    <mergeCell ref="C5:C6"/>
    <mergeCell ref="D5:D6"/>
    <mergeCell ref="E5:F5"/>
    <mergeCell ref="G5:H5"/>
  </mergeCells>
  <pageMargins left="0.15748031496062992" right="0.15748031496062992" top="0.47244094488188981" bottom="0.74803149606299213" header="0.31496062992125984" footer="0.31496062992125984"/>
  <pageSetup paperSize="9" scale="7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66"/>
  <sheetViews>
    <sheetView topLeftCell="A16" workbookViewId="0">
      <selection activeCell="E47" sqref="E47"/>
    </sheetView>
  </sheetViews>
  <sheetFormatPr defaultRowHeight="23.25"/>
  <cols>
    <col min="1" max="1" width="4.375" style="312" customWidth="1"/>
    <col min="2" max="2" width="3" style="312" customWidth="1"/>
    <col min="3" max="3" width="81.5" style="313" customWidth="1"/>
    <col min="4" max="4" width="12.75" style="312" customWidth="1"/>
    <col min="5" max="5" width="12.75" style="312" bestFit="1" customWidth="1"/>
    <col min="6" max="6" width="11.875" style="312" bestFit="1" customWidth="1"/>
    <col min="7" max="7" width="15.75" style="312" bestFit="1" customWidth="1"/>
    <col min="8" max="8" width="10.875" style="312" hidden="1" customWidth="1"/>
    <col min="9" max="9" width="9" style="312"/>
    <col min="10" max="10" width="10.875" style="312" customWidth="1"/>
    <col min="11" max="256" width="9" style="312"/>
    <col min="257" max="257" width="4.375" style="312" customWidth="1"/>
    <col min="258" max="258" width="3" style="312" customWidth="1"/>
    <col min="259" max="259" width="81.5" style="312" customWidth="1"/>
    <col min="260" max="260" width="12.75" style="312" customWidth="1"/>
    <col min="261" max="261" width="12.75" style="312" bestFit="1" customWidth="1"/>
    <col min="262" max="262" width="11.875" style="312" bestFit="1" customWidth="1"/>
    <col min="263" max="263" width="15.75" style="312" bestFit="1" customWidth="1"/>
    <col min="264" max="264" width="0" style="312" hidden="1" customWidth="1"/>
    <col min="265" max="265" width="9" style="312"/>
    <col min="266" max="266" width="10.875" style="312" customWidth="1"/>
    <col min="267" max="512" width="9" style="312"/>
    <col min="513" max="513" width="4.375" style="312" customWidth="1"/>
    <col min="514" max="514" width="3" style="312" customWidth="1"/>
    <col min="515" max="515" width="81.5" style="312" customWidth="1"/>
    <col min="516" max="516" width="12.75" style="312" customWidth="1"/>
    <col min="517" max="517" width="12.75" style="312" bestFit="1" customWidth="1"/>
    <col min="518" max="518" width="11.875" style="312" bestFit="1" customWidth="1"/>
    <col min="519" max="519" width="15.75" style="312" bestFit="1" customWidth="1"/>
    <col min="520" max="520" width="0" style="312" hidden="1" customWidth="1"/>
    <col min="521" max="521" width="9" style="312"/>
    <col min="522" max="522" width="10.875" style="312" customWidth="1"/>
    <col min="523" max="768" width="9" style="312"/>
    <col min="769" max="769" width="4.375" style="312" customWidth="1"/>
    <col min="770" max="770" width="3" style="312" customWidth="1"/>
    <col min="771" max="771" width="81.5" style="312" customWidth="1"/>
    <col min="772" max="772" width="12.75" style="312" customWidth="1"/>
    <col min="773" max="773" width="12.75" style="312" bestFit="1" customWidth="1"/>
    <col min="774" max="774" width="11.875" style="312" bestFit="1" customWidth="1"/>
    <col min="775" max="775" width="15.75" style="312" bestFit="1" customWidth="1"/>
    <col min="776" max="776" width="0" style="312" hidden="1" customWidth="1"/>
    <col min="777" max="777" width="9" style="312"/>
    <col min="778" max="778" width="10.875" style="312" customWidth="1"/>
    <col min="779" max="1024" width="9" style="312"/>
    <col min="1025" max="1025" width="4.375" style="312" customWidth="1"/>
    <col min="1026" max="1026" width="3" style="312" customWidth="1"/>
    <col min="1027" max="1027" width="81.5" style="312" customWidth="1"/>
    <col min="1028" max="1028" width="12.75" style="312" customWidth="1"/>
    <col min="1029" max="1029" width="12.75" style="312" bestFit="1" customWidth="1"/>
    <col min="1030" max="1030" width="11.875" style="312" bestFit="1" customWidth="1"/>
    <col min="1031" max="1031" width="15.75" style="312" bestFit="1" customWidth="1"/>
    <col min="1032" max="1032" width="0" style="312" hidden="1" customWidth="1"/>
    <col min="1033" max="1033" width="9" style="312"/>
    <col min="1034" max="1034" width="10.875" style="312" customWidth="1"/>
    <col min="1035" max="1280" width="9" style="312"/>
    <col min="1281" max="1281" width="4.375" style="312" customWidth="1"/>
    <col min="1282" max="1282" width="3" style="312" customWidth="1"/>
    <col min="1283" max="1283" width="81.5" style="312" customWidth="1"/>
    <col min="1284" max="1284" width="12.75" style="312" customWidth="1"/>
    <col min="1285" max="1285" width="12.75" style="312" bestFit="1" customWidth="1"/>
    <col min="1286" max="1286" width="11.875" style="312" bestFit="1" customWidth="1"/>
    <col min="1287" max="1287" width="15.75" style="312" bestFit="1" customWidth="1"/>
    <col min="1288" max="1288" width="0" style="312" hidden="1" customWidth="1"/>
    <col min="1289" max="1289" width="9" style="312"/>
    <col min="1290" max="1290" width="10.875" style="312" customWidth="1"/>
    <col min="1291" max="1536" width="9" style="312"/>
    <col min="1537" max="1537" width="4.375" style="312" customWidth="1"/>
    <col min="1538" max="1538" width="3" style="312" customWidth="1"/>
    <col min="1539" max="1539" width="81.5" style="312" customWidth="1"/>
    <col min="1540" max="1540" width="12.75" style="312" customWidth="1"/>
    <col min="1541" max="1541" width="12.75" style="312" bestFit="1" customWidth="1"/>
    <col min="1542" max="1542" width="11.875" style="312" bestFit="1" customWidth="1"/>
    <col min="1543" max="1543" width="15.75" style="312" bestFit="1" customWidth="1"/>
    <col min="1544" max="1544" width="0" style="312" hidden="1" customWidth="1"/>
    <col min="1545" max="1545" width="9" style="312"/>
    <col min="1546" max="1546" width="10.875" style="312" customWidth="1"/>
    <col min="1547" max="1792" width="9" style="312"/>
    <col min="1793" max="1793" width="4.375" style="312" customWidth="1"/>
    <col min="1794" max="1794" width="3" style="312" customWidth="1"/>
    <col min="1795" max="1795" width="81.5" style="312" customWidth="1"/>
    <col min="1796" max="1796" width="12.75" style="312" customWidth="1"/>
    <col min="1797" max="1797" width="12.75" style="312" bestFit="1" customWidth="1"/>
    <col min="1798" max="1798" width="11.875" style="312" bestFit="1" customWidth="1"/>
    <col min="1799" max="1799" width="15.75" style="312" bestFit="1" customWidth="1"/>
    <col min="1800" max="1800" width="0" style="312" hidden="1" customWidth="1"/>
    <col min="1801" max="1801" width="9" style="312"/>
    <col min="1802" max="1802" width="10.875" style="312" customWidth="1"/>
    <col min="1803" max="2048" width="9" style="312"/>
    <col min="2049" max="2049" width="4.375" style="312" customWidth="1"/>
    <col min="2050" max="2050" width="3" style="312" customWidth="1"/>
    <col min="2051" max="2051" width="81.5" style="312" customWidth="1"/>
    <col min="2052" max="2052" width="12.75" style="312" customWidth="1"/>
    <col min="2053" max="2053" width="12.75" style="312" bestFit="1" customWidth="1"/>
    <col min="2054" max="2054" width="11.875" style="312" bestFit="1" customWidth="1"/>
    <col min="2055" max="2055" width="15.75" style="312" bestFit="1" customWidth="1"/>
    <col min="2056" max="2056" width="0" style="312" hidden="1" customWidth="1"/>
    <col min="2057" max="2057" width="9" style="312"/>
    <col min="2058" max="2058" width="10.875" style="312" customWidth="1"/>
    <col min="2059" max="2304" width="9" style="312"/>
    <col min="2305" max="2305" width="4.375" style="312" customWidth="1"/>
    <col min="2306" max="2306" width="3" style="312" customWidth="1"/>
    <col min="2307" max="2307" width="81.5" style="312" customWidth="1"/>
    <col min="2308" max="2308" width="12.75" style="312" customWidth="1"/>
    <col min="2309" max="2309" width="12.75" style="312" bestFit="1" customWidth="1"/>
    <col min="2310" max="2310" width="11.875" style="312" bestFit="1" customWidth="1"/>
    <col min="2311" max="2311" width="15.75" style="312" bestFit="1" customWidth="1"/>
    <col min="2312" max="2312" width="0" style="312" hidden="1" customWidth="1"/>
    <col min="2313" max="2313" width="9" style="312"/>
    <col min="2314" max="2314" width="10.875" style="312" customWidth="1"/>
    <col min="2315" max="2560" width="9" style="312"/>
    <col min="2561" max="2561" width="4.375" style="312" customWidth="1"/>
    <col min="2562" max="2562" width="3" style="312" customWidth="1"/>
    <col min="2563" max="2563" width="81.5" style="312" customWidth="1"/>
    <col min="2564" max="2564" width="12.75" style="312" customWidth="1"/>
    <col min="2565" max="2565" width="12.75" style="312" bestFit="1" customWidth="1"/>
    <col min="2566" max="2566" width="11.875" style="312" bestFit="1" customWidth="1"/>
    <col min="2567" max="2567" width="15.75" style="312" bestFit="1" customWidth="1"/>
    <col min="2568" max="2568" width="0" style="312" hidden="1" customWidth="1"/>
    <col min="2569" max="2569" width="9" style="312"/>
    <col min="2570" max="2570" width="10.875" style="312" customWidth="1"/>
    <col min="2571" max="2816" width="9" style="312"/>
    <col min="2817" max="2817" width="4.375" style="312" customWidth="1"/>
    <col min="2818" max="2818" width="3" style="312" customWidth="1"/>
    <col min="2819" max="2819" width="81.5" style="312" customWidth="1"/>
    <col min="2820" max="2820" width="12.75" style="312" customWidth="1"/>
    <col min="2821" max="2821" width="12.75" style="312" bestFit="1" customWidth="1"/>
    <col min="2822" max="2822" width="11.875" style="312" bestFit="1" customWidth="1"/>
    <col min="2823" max="2823" width="15.75" style="312" bestFit="1" customWidth="1"/>
    <col min="2824" max="2824" width="0" style="312" hidden="1" customWidth="1"/>
    <col min="2825" max="2825" width="9" style="312"/>
    <col min="2826" max="2826" width="10.875" style="312" customWidth="1"/>
    <col min="2827" max="3072" width="9" style="312"/>
    <col min="3073" max="3073" width="4.375" style="312" customWidth="1"/>
    <col min="3074" max="3074" width="3" style="312" customWidth="1"/>
    <col min="3075" max="3075" width="81.5" style="312" customWidth="1"/>
    <col min="3076" max="3076" width="12.75" style="312" customWidth="1"/>
    <col min="3077" max="3077" width="12.75" style="312" bestFit="1" customWidth="1"/>
    <col min="3078" max="3078" width="11.875" style="312" bestFit="1" customWidth="1"/>
    <col min="3079" max="3079" width="15.75" style="312" bestFit="1" customWidth="1"/>
    <col min="3080" max="3080" width="0" style="312" hidden="1" customWidth="1"/>
    <col min="3081" max="3081" width="9" style="312"/>
    <col min="3082" max="3082" width="10.875" style="312" customWidth="1"/>
    <col min="3083" max="3328" width="9" style="312"/>
    <col min="3329" max="3329" width="4.375" style="312" customWidth="1"/>
    <col min="3330" max="3330" width="3" style="312" customWidth="1"/>
    <col min="3331" max="3331" width="81.5" style="312" customWidth="1"/>
    <col min="3332" max="3332" width="12.75" style="312" customWidth="1"/>
    <col min="3333" max="3333" width="12.75" style="312" bestFit="1" customWidth="1"/>
    <col min="3334" max="3334" width="11.875" style="312" bestFit="1" customWidth="1"/>
    <col min="3335" max="3335" width="15.75" style="312" bestFit="1" customWidth="1"/>
    <col min="3336" max="3336" width="0" style="312" hidden="1" customWidth="1"/>
    <col min="3337" max="3337" width="9" style="312"/>
    <col min="3338" max="3338" width="10.875" style="312" customWidth="1"/>
    <col min="3339" max="3584" width="9" style="312"/>
    <col min="3585" max="3585" width="4.375" style="312" customWidth="1"/>
    <col min="3586" max="3586" width="3" style="312" customWidth="1"/>
    <col min="3587" max="3587" width="81.5" style="312" customWidth="1"/>
    <col min="3588" max="3588" width="12.75" style="312" customWidth="1"/>
    <col min="3589" max="3589" width="12.75" style="312" bestFit="1" customWidth="1"/>
    <col min="3590" max="3590" width="11.875" style="312" bestFit="1" customWidth="1"/>
    <col min="3591" max="3591" width="15.75" style="312" bestFit="1" customWidth="1"/>
    <col min="3592" max="3592" width="0" style="312" hidden="1" customWidth="1"/>
    <col min="3593" max="3593" width="9" style="312"/>
    <col min="3594" max="3594" width="10.875" style="312" customWidth="1"/>
    <col min="3595" max="3840" width="9" style="312"/>
    <col min="3841" max="3841" width="4.375" style="312" customWidth="1"/>
    <col min="3842" max="3842" width="3" style="312" customWidth="1"/>
    <col min="3843" max="3843" width="81.5" style="312" customWidth="1"/>
    <col min="3844" max="3844" width="12.75" style="312" customWidth="1"/>
    <col min="3845" max="3845" width="12.75" style="312" bestFit="1" customWidth="1"/>
    <col min="3846" max="3846" width="11.875" style="312" bestFit="1" customWidth="1"/>
    <col min="3847" max="3847" width="15.75" style="312" bestFit="1" customWidth="1"/>
    <col min="3848" max="3848" width="0" style="312" hidden="1" customWidth="1"/>
    <col min="3849" max="3849" width="9" style="312"/>
    <col min="3850" max="3850" width="10.875" style="312" customWidth="1"/>
    <col min="3851" max="4096" width="9" style="312"/>
    <col min="4097" max="4097" width="4.375" style="312" customWidth="1"/>
    <col min="4098" max="4098" width="3" style="312" customWidth="1"/>
    <col min="4099" max="4099" width="81.5" style="312" customWidth="1"/>
    <col min="4100" max="4100" width="12.75" style="312" customWidth="1"/>
    <col min="4101" max="4101" width="12.75" style="312" bestFit="1" customWidth="1"/>
    <col min="4102" max="4102" width="11.875" style="312" bestFit="1" customWidth="1"/>
    <col min="4103" max="4103" width="15.75" style="312" bestFit="1" customWidth="1"/>
    <col min="4104" max="4104" width="0" style="312" hidden="1" customWidth="1"/>
    <col min="4105" max="4105" width="9" style="312"/>
    <col min="4106" max="4106" width="10.875" style="312" customWidth="1"/>
    <col min="4107" max="4352" width="9" style="312"/>
    <col min="4353" max="4353" width="4.375" style="312" customWidth="1"/>
    <col min="4354" max="4354" width="3" style="312" customWidth="1"/>
    <col min="4355" max="4355" width="81.5" style="312" customWidth="1"/>
    <col min="4356" max="4356" width="12.75" style="312" customWidth="1"/>
    <col min="4357" max="4357" width="12.75" style="312" bestFit="1" customWidth="1"/>
    <col min="4358" max="4358" width="11.875" style="312" bestFit="1" customWidth="1"/>
    <col min="4359" max="4359" width="15.75" style="312" bestFit="1" customWidth="1"/>
    <col min="4360" max="4360" width="0" style="312" hidden="1" customWidth="1"/>
    <col min="4361" max="4361" width="9" style="312"/>
    <col min="4362" max="4362" width="10.875" style="312" customWidth="1"/>
    <col min="4363" max="4608" width="9" style="312"/>
    <col min="4609" max="4609" width="4.375" style="312" customWidth="1"/>
    <col min="4610" max="4610" width="3" style="312" customWidth="1"/>
    <col min="4611" max="4611" width="81.5" style="312" customWidth="1"/>
    <col min="4612" max="4612" width="12.75" style="312" customWidth="1"/>
    <col min="4613" max="4613" width="12.75" style="312" bestFit="1" customWidth="1"/>
    <col min="4614" max="4614" width="11.875" style="312" bestFit="1" customWidth="1"/>
    <col min="4615" max="4615" width="15.75" style="312" bestFit="1" customWidth="1"/>
    <col min="4616" max="4616" width="0" style="312" hidden="1" customWidth="1"/>
    <col min="4617" max="4617" width="9" style="312"/>
    <col min="4618" max="4618" width="10.875" style="312" customWidth="1"/>
    <col min="4619" max="4864" width="9" style="312"/>
    <col min="4865" max="4865" width="4.375" style="312" customWidth="1"/>
    <col min="4866" max="4866" width="3" style="312" customWidth="1"/>
    <col min="4867" max="4867" width="81.5" style="312" customWidth="1"/>
    <col min="4868" max="4868" width="12.75" style="312" customWidth="1"/>
    <col min="4869" max="4869" width="12.75" style="312" bestFit="1" customWidth="1"/>
    <col min="4870" max="4870" width="11.875" style="312" bestFit="1" customWidth="1"/>
    <col min="4871" max="4871" width="15.75" style="312" bestFit="1" customWidth="1"/>
    <col min="4872" max="4872" width="0" style="312" hidden="1" customWidth="1"/>
    <col min="4873" max="4873" width="9" style="312"/>
    <col min="4874" max="4874" width="10.875" style="312" customWidth="1"/>
    <col min="4875" max="5120" width="9" style="312"/>
    <col min="5121" max="5121" width="4.375" style="312" customWidth="1"/>
    <col min="5122" max="5122" width="3" style="312" customWidth="1"/>
    <col min="5123" max="5123" width="81.5" style="312" customWidth="1"/>
    <col min="5124" max="5124" width="12.75" style="312" customWidth="1"/>
    <col min="5125" max="5125" width="12.75" style="312" bestFit="1" customWidth="1"/>
    <col min="5126" max="5126" width="11.875" style="312" bestFit="1" customWidth="1"/>
    <col min="5127" max="5127" width="15.75" style="312" bestFit="1" customWidth="1"/>
    <col min="5128" max="5128" width="0" style="312" hidden="1" customWidth="1"/>
    <col min="5129" max="5129" width="9" style="312"/>
    <col min="5130" max="5130" width="10.875" style="312" customWidth="1"/>
    <col min="5131" max="5376" width="9" style="312"/>
    <col min="5377" max="5377" width="4.375" style="312" customWidth="1"/>
    <col min="5378" max="5378" width="3" style="312" customWidth="1"/>
    <col min="5379" max="5379" width="81.5" style="312" customWidth="1"/>
    <col min="5380" max="5380" width="12.75" style="312" customWidth="1"/>
    <col min="5381" max="5381" width="12.75" style="312" bestFit="1" customWidth="1"/>
    <col min="5382" max="5382" width="11.875" style="312" bestFit="1" customWidth="1"/>
    <col min="5383" max="5383" width="15.75" style="312" bestFit="1" customWidth="1"/>
    <col min="5384" max="5384" width="0" style="312" hidden="1" customWidth="1"/>
    <col min="5385" max="5385" width="9" style="312"/>
    <col min="5386" max="5386" width="10.875" style="312" customWidth="1"/>
    <col min="5387" max="5632" width="9" style="312"/>
    <col min="5633" max="5633" width="4.375" style="312" customWidth="1"/>
    <col min="5634" max="5634" width="3" style="312" customWidth="1"/>
    <col min="5635" max="5635" width="81.5" style="312" customWidth="1"/>
    <col min="5636" max="5636" width="12.75" style="312" customWidth="1"/>
    <col min="5637" max="5637" width="12.75" style="312" bestFit="1" customWidth="1"/>
    <col min="5638" max="5638" width="11.875" style="312" bestFit="1" customWidth="1"/>
    <col min="5639" max="5639" width="15.75" style="312" bestFit="1" customWidth="1"/>
    <col min="5640" max="5640" width="0" style="312" hidden="1" customWidth="1"/>
    <col min="5641" max="5641" width="9" style="312"/>
    <col min="5642" max="5642" width="10.875" style="312" customWidth="1"/>
    <col min="5643" max="5888" width="9" style="312"/>
    <col min="5889" max="5889" width="4.375" style="312" customWidth="1"/>
    <col min="5890" max="5890" width="3" style="312" customWidth="1"/>
    <col min="5891" max="5891" width="81.5" style="312" customWidth="1"/>
    <col min="5892" max="5892" width="12.75" style="312" customWidth="1"/>
    <col min="5893" max="5893" width="12.75" style="312" bestFit="1" customWidth="1"/>
    <col min="5894" max="5894" width="11.875" style="312" bestFit="1" customWidth="1"/>
    <col min="5895" max="5895" width="15.75" style="312" bestFit="1" customWidth="1"/>
    <col min="5896" max="5896" width="0" style="312" hidden="1" customWidth="1"/>
    <col min="5897" max="5897" width="9" style="312"/>
    <col min="5898" max="5898" width="10.875" style="312" customWidth="1"/>
    <col min="5899" max="6144" width="9" style="312"/>
    <col min="6145" max="6145" width="4.375" style="312" customWidth="1"/>
    <col min="6146" max="6146" width="3" style="312" customWidth="1"/>
    <col min="6147" max="6147" width="81.5" style="312" customWidth="1"/>
    <col min="6148" max="6148" width="12.75" style="312" customWidth="1"/>
    <col min="6149" max="6149" width="12.75" style="312" bestFit="1" customWidth="1"/>
    <col min="6150" max="6150" width="11.875" style="312" bestFit="1" customWidth="1"/>
    <col min="6151" max="6151" width="15.75" style="312" bestFit="1" customWidth="1"/>
    <col min="6152" max="6152" width="0" style="312" hidden="1" customWidth="1"/>
    <col min="6153" max="6153" width="9" style="312"/>
    <col min="6154" max="6154" width="10.875" style="312" customWidth="1"/>
    <col min="6155" max="6400" width="9" style="312"/>
    <col min="6401" max="6401" width="4.375" style="312" customWidth="1"/>
    <col min="6402" max="6402" width="3" style="312" customWidth="1"/>
    <col min="6403" max="6403" width="81.5" style="312" customWidth="1"/>
    <col min="6404" max="6404" width="12.75" style="312" customWidth="1"/>
    <col min="6405" max="6405" width="12.75" style="312" bestFit="1" customWidth="1"/>
    <col min="6406" max="6406" width="11.875" style="312" bestFit="1" customWidth="1"/>
    <col min="6407" max="6407" width="15.75" style="312" bestFit="1" customWidth="1"/>
    <col min="6408" max="6408" width="0" style="312" hidden="1" customWidth="1"/>
    <col min="6409" max="6409" width="9" style="312"/>
    <col min="6410" max="6410" width="10.875" style="312" customWidth="1"/>
    <col min="6411" max="6656" width="9" style="312"/>
    <col min="6657" max="6657" width="4.375" style="312" customWidth="1"/>
    <col min="6658" max="6658" width="3" style="312" customWidth="1"/>
    <col min="6659" max="6659" width="81.5" style="312" customWidth="1"/>
    <col min="6660" max="6660" width="12.75" style="312" customWidth="1"/>
    <col min="6661" max="6661" width="12.75" style="312" bestFit="1" customWidth="1"/>
    <col min="6662" max="6662" width="11.875" style="312" bestFit="1" customWidth="1"/>
    <col min="6663" max="6663" width="15.75" style="312" bestFit="1" customWidth="1"/>
    <col min="6664" max="6664" width="0" style="312" hidden="1" customWidth="1"/>
    <col min="6665" max="6665" width="9" style="312"/>
    <col min="6666" max="6666" width="10.875" style="312" customWidth="1"/>
    <col min="6667" max="6912" width="9" style="312"/>
    <col min="6913" max="6913" width="4.375" style="312" customWidth="1"/>
    <col min="6914" max="6914" width="3" style="312" customWidth="1"/>
    <col min="6915" max="6915" width="81.5" style="312" customWidth="1"/>
    <col min="6916" max="6916" width="12.75" style="312" customWidth="1"/>
    <col min="6917" max="6917" width="12.75" style="312" bestFit="1" customWidth="1"/>
    <col min="6918" max="6918" width="11.875" style="312" bestFit="1" customWidth="1"/>
    <col min="6919" max="6919" width="15.75" style="312" bestFit="1" customWidth="1"/>
    <col min="6920" max="6920" width="0" style="312" hidden="1" customWidth="1"/>
    <col min="6921" max="6921" width="9" style="312"/>
    <col min="6922" max="6922" width="10.875" style="312" customWidth="1"/>
    <col min="6923" max="7168" width="9" style="312"/>
    <col min="7169" max="7169" width="4.375" style="312" customWidth="1"/>
    <col min="7170" max="7170" width="3" style="312" customWidth="1"/>
    <col min="7171" max="7171" width="81.5" style="312" customWidth="1"/>
    <col min="7172" max="7172" width="12.75" style="312" customWidth="1"/>
    <col min="7173" max="7173" width="12.75" style="312" bestFit="1" customWidth="1"/>
    <col min="7174" max="7174" width="11.875" style="312" bestFit="1" customWidth="1"/>
    <col min="7175" max="7175" width="15.75" style="312" bestFit="1" customWidth="1"/>
    <col min="7176" max="7176" width="0" style="312" hidden="1" customWidth="1"/>
    <col min="7177" max="7177" width="9" style="312"/>
    <col min="7178" max="7178" width="10.875" style="312" customWidth="1"/>
    <col min="7179" max="7424" width="9" style="312"/>
    <col min="7425" max="7425" width="4.375" style="312" customWidth="1"/>
    <col min="7426" max="7426" width="3" style="312" customWidth="1"/>
    <col min="7427" max="7427" width="81.5" style="312" customWidth="1"/>
    <col min="7428" max="7428" width="12.75" style="312" customWidth="1"/>
    <col min="7429" max="7429" width="12.75" style="312" bestFit="1" customWidth="1"/>
    <col min="7430" max="7430" width="11.875" style="312" bestFit="1" customWidth="1"/>
    <col min="7431" max="7431" width="15.75" style="312" bestFit="1" customWidth="1"/>
    <col min="7432" max="7432" width="0" style="312" hidden="1" customWidth="1"/>
    <col min="7433" max="7433" width="9" style="312"/>
    <col min="7434" max="7434" width="10.875" style="312" customWidth="1"/>
    <col min="7435" max="7680" width="9" style="312"/>
    <col min="7681" max="7681" width="4.375" style="312" customWidth="1"/>
    <col min="7682" max="7682" width="3" style="312" customWidth="1"/>
    <col min="7683" max="7683" width="81.5" style="312" customWidth="1"/>
    <col min="7684" max="7684" width="12.75" style="312" customWidth="1"/>
    <col min="7685" max="7685" width="12.75" style="312" bestFit="1" customWidth="1"/>
    <col min="7686" max="7686" width="11.875" style="312" bestFit="1" customWidth="1"/>
    <col min="7687" max="7687" width="15.75" style="312" bestFit="1" customWidth="1"/>
    <col min="7688" max="7688" width="0" style="312" hidden="1" customWidth="1"/>
    <col min="7689" max="7689" width="9" style="312"/>
    <col min="7690" max="7690" width="10.875" style="312" customWidth="1"/>
    <col min="7691" max="7936" width="9" style="312"/>
    <col min="7937" max="7937" width="4.375" style="312" customWidth="1"/>
    <col min="7938" max="7938" width="3" style="312" customWidth="1"/>
    <col min="7939" max="7939" width="81.5" style="312" customWidth="1"/>
    <col min="7940" max="7940" width="12.75" style="312" customWidth="1"/>
    <col min="7941" max="7941" width="12.75" style="312" bestFit="1" customWidth="1"/>
    <col min="7942" max="7942" width="11.875" style="312" bestFit="1" customWidth="1"/>
    <col min="7943" max="7943" width="15.75" style="312" bestFit="1" customWidth="1"/>
    <col min="7944" max="7944" width="0" style="312" hidden="1" customWidth="1"/>
    <col min="7945" max="7945" width="9" style="312"/>
    <col min="7946" max="7946" width="10.875" style="312" customWidth="1"/>
    <col min="7947" max="8192" width="9" style="312"/>
    <col min="8193" max="8193" width="4.375" style="312" customWidth="1"/>
    <col min="8194" max="8194" width="3" style="312" customWidth="1"/>
    <col min="8195" max="8195" width="81.5" style="312" customWidth="1"/>
    <col min="8196" max="8196" width="12.75" style="312" customWidth="1"/>
    <col min="8197" max="8197" width="12.75" style="312" bestFit="1" customWidth="1"/>
    <col min="8198" max="8198" width="11.875" style="312" bestFit="1" customWidth="1"/>
    <col min="8199" max="8199" width="15.75" style="312" bestFit="1" customWidth="1"/>
    <col min="8200" max="8200" width="0" style="312" hidden="1" customWidth="1"/>
    <col min="8201" max="8201" width="9" style="312"/>
    <col min="8202" max="8202" width="10.875" style="312" customWidth="1"/>
    <col min="8203" max="8448" width="9" style="312"/>
    <col min="8449" max="8449" width="4.375" style="312" customWidth="1"/>
    <col min="8450" max="8450" width="3" style="312" customWidth="1"/>
    <col min="8451" max="8451" width="81.5" style="312" customWidth="1"/>
    <col min="8452" max="8452" width="12.75" style="312" customWidth="1"/>
    <col min="8453" max="8453" width="12.75" style="312" bestFit="1" customWidth="1"/>
    <col min="8454" max="8454" width="11.875" style="312" bestFit="1" customWidth="1"/>
    <col min="8455" max="8455" width="15.75" style="312" bestFit="1" customWidth="1"/>
    <col min="8456" max="8456" width="0" style="312" hidden="1" customWidth="1"/>
    <col min="8457" max="8457" width="9" style="312"/>
    <col min="8458" max="8458" width="10.875" style="312" customWidth="1"/>
    <col min="8459" max="8704" width="9" style="312"/>
    <col min="8705" max="8705" width="4.375" style="312" customWidth="1"/>
    <col min="8706" max="8706" width="3" style="312" customWidth="1"/>
    <col min="8707" max="8707" width="81.5" style="312" customWidth="1"/>
    <col min="8708" max="8708" width="12.75" style="312" customWidth="1"/>
    <col min="8709" max="8709" width="12.75" style="312" bestFit="1" customWidth="1"/>
    <col min="8710" max="8710" width="11.875" style="312" bestFit="1" customWidth="1"/>
    <col min="8711" max="8711" width="15.75" style="312" bestFit="1" customWidth="1"/>
    <col min="8712" max="8712" width="0" style="312" hidden="1" customWidth="1"/>
    <col min="8713" max="8713" width="9" style="312"/>
    <col min="8714" max="8714" width="10.875" style="312" customWidth="1"/>
    <col min="8715" max="8960" width="9" style="312"/>
    <col min="8961" max="8961" width="4.375" style="312" customWidth="1"/>
    <col min="8962" max="8962" width="3" style="312" customWidth="1"/>
    <col min="8963" max="8963" width="81.5" style="312" customWidth="1"/>
    <col min="8964" max="8964" width="12.75" style="312" customWidth="1"/>
    <col min="8965" max="8965" width="12.75" style="312" bestFit="1" customWidth="1"/>
    <col min="8966" max="8966" width="11.875" style="312" bestFit="1" customWidth="1"/>
    <col min="8967" max="8967" width="15.75" style="312" bestFit="1" customWidth="1"/>
    <col min="8968" max="8968" width="0" style="312" hidden="1" customWidth="1"/>
    <col min="8969" max="8969" width="9" style="312"/>
    <col min="8970" max="8970" width="10.875" style="312" customWidth="1"/>
    <col min="8971" max="9216" width="9" style="312"/>
    <col min="9217" max="9217" width="4.375" style="312" customWidth="1"/>
    <col min="9218" max="9218" width="3" style="312" customWidth="1"/>
    <col min="9219" max="9219" width="81.5" style="312" customWidth="1"/>
    <col min="9220" max="9220" width="12.75" style="312" customWidth="1"/>
    <col min="9221" max="9221" width="12.75" style="312" bestFit="1" customWidth="1"/>
    <col min="9222" max="9222" width="11.875" style="312" bestFit="1" customWidth="1"/>
    <col min="9223" max="9223" width="15.75" style="312" bestFit="1" customWidth="1"/>
    <col min="9224" max="9224" width="0" style="312" hidden="1" customWidth="1"/>
    <col min="9225" max="9225" width="9" style="312"/>
    <col min="9226" max="9226" width="10.875" style="312" customWidth="1"/>
    <col min="9227" max="9472" width="9" style="312"/>
    <col min="9473" max="9473" width="4.375" style="312" customWidth="1"/>
    <col min="9474" max="9474" width="3" style="312" customWidth="1"/>
    <col min="9475" max="9475" width="81.5" style="312" customWidth="1"/>
    <col min="9476" max="9476" width="12.75" style="312" customWidth="1"/>
    <col min="9477" max="9477" width="12.75" style="312" bestFit="1" customWidth="1"/>
    <col min="9478" max="9478" width="11.875" style="312" bestFit="1" customWidth="1"/>
    <col min="9479" max="9479" width="15.75" style="312" bestFit="1" customWidth="1"/>
    <col min="9480" max="9480" width="0" style="312" hidden="1" customWidth="1"/>
    <col min="9481" max="9481" width="9" style="312"/>
    <col min="9482" max="9482" width="10.875" style="312" customWidth="1"/>
    <col min="9483" max="9728" width="9" style="312"/>
    <col min="9729" max="9729" width="4.375" style="312" customWidth="1"/>
    <col min="9730" max="9730" width="3" style="312" customWidth="1"/>
    <col min="9731" max="9731" width="81.5" style="312" customWidth="1"/>
    <col min="9732" max="9732" width="12.75" style="312" customWidth="1"/>
    <col min="9733" max="9733" width="12.75" style="312" bestFit="1" customWidth="1"/>
    <col min="9734" max="9734" width="11.875" style="312" bestFit="1" customWidth="1"/>
    <col min="9735" max="9735" width="15.75" style="312" bestFit="1" customWidth="1"/>
    <col min="9736" max="9736" width="0" style="312" hidden="1" customWidth="1"/>
    <col min="9737" max="9737" width="9" style="312"/>
    <col min="9738" max="9738" width="10.875" style="312" customWidth="1"/>
    <col min="9739" max="9984" width="9" style="312"/>
    <col min="9985" max="9985" width="4.375" style="312" customWidth="1"/>
    <col min="9986" max="9986" width="3" style="312" customWidth="1"/>
    <col min="9987" max="9987" width="81.5" style="312" customWidth="1"/>
    <col min="9988" max="9988" width="12.75" style="312" customWidth="1"/>
    <col min="9989" max="9989" width="12.75" style="312" bestFit="1" customWidth="1"/>
    <col min="9990" max="9990" width="11.875" style="312" bestFit="1" customWidth="1"/>
    <col min="9991" max="9991" width="15.75" style="312" bestFit="1" customWidth="1"/>
    <col min="9992" max="9992" width="0" style="312" hidden="1" customWidth="1"/>
    <col min="9993" max="9993" width="9" style="312"/>
    <col min="9994" max="9994" width="10.875" style="312" customWidth="1"/>
    <col min="9995" max="10240" width="9" style="312"/>
    <col min="10241" max="10241" width="4.375" style="312" customWidth="1"/>
    <col min="10242" max="10242" width="3" style="312" customWidth="1"/>
    <col min="10243" max="10243" width="81.5" style="312" customWidth="1"/>
    <col min="10244" max="10244" width="12.75" style="312" customWidth="1"/>
    <col min="10245" max="10245" width="12.75" style="312" bestFit="1" customWidth="1"/>
    <col min="10246" max="10246" width="11.875" style="312" bestFit="1" customWidth="1"/>
    <col min="10247" max="10247" width="15.75" style="312" bestFit="1" customWidth="1"/>
    <col min="10248" max="10248" width="0" style="312" hidden="1" customWidth="1"/>
    <col min="10249" max="10249" width="9" style="312"/>
    <col min="10250" max="10250" width="10.875" style="312" customWidth="1"/>
    <col min="10251" max="10496" width="9" style="312"/>
    <col min="10497" max="10497" width="4.375" style="312" customWidth="1"/>
    <col min="10498" max="10498" width="3" style="312" customWidth="1"/>
    <col min="10499" max="10499" width="81.5" style="312" customWidth="1"/>
    <col min="10500" max="10500" width="12.75" style="312" customWidth="1"/>
    <col min="10501" max="10501" width="12.75" style="312" bestFit="1" customWidth="1"/>
    <col min="10502" max="10502" width="11.875" style="312" bestFit="1" customWidth="1"/>
    <col min="10503" max="10503" width="15.75" style="312" bestFit="1" customWidth="1"/>
    <col min="10504" max="10504" width="0" style="312" hidden="1" customWidth="1"/>
    <col min="10505" max="10505" width="9" style="312"/>
    <col min="10506" max="10506" width="10.875" style="312" customWidth="1"/>
    <col min="10507" max="10752" width="9" style="312"/>
    <col min="10753" max="10753" width="4.375" style="312" customWidth="1"/>
    <col min="10754" max="10754" width="3" style="312" customWidth="1"/>
    <col min="10755" max="10755" width="81.5" style="312" customWidth="1"/>
    <col min="10756" max="10756" width="12.75" style="312" customWidth="1"/>
    <col min="10757" max="10757" width="12.75" style="312" bestFit="1" customWidth="1"/>
    <col min="10758" max="10758" width="11.875" style="312" bestFit="1" customWidth="1"/>
    <col min="10759" max="10759" width="15.75" style="312" bestFit="1" customWidth="1"/>
    <col min="10760" max="10760" width="0" style="312" hidden="1" customWidth="1"/>
    <col min="10761" max="10761" width="9" style="312"/>
    <col min="10762" max="10762" width="10.875" style="312" customWidth="1"/>
    <col min="10763" max="11008" width="9" style="312"/>
    <col min="11009" max="11009" width="4.375" style="312" customWidth="1"/>
    <col min="11010" max="11010" width="3" style="312" customWidth="1"/>
    <col min="11011" max="11011" width="81.5" style="312" customWidth="1"/>
    <col min="11012" max="11012" width="12.75" style="312" customWidth="1"/>
    <col min="11013" max="11013" width="12.75" style="312" bestFit="1" customWidth="1"/>
    <col min="11014" max="11014" width="11.875" style="312" bestFit="1" customWidth="1"/>
    <col min="11015" max="11015" width="15.75" style="312" bestFit="1" customWidth="1"/>
    <col min="11016" max="11016" width="0" style="312" hidden="1" customWidth="1"/>
    <col min="11017" max="11017" width="9" style="312"/>
    <col min="11018" max="11018" width="10.875" style="312" customWidth="1"/>
    <col min="11019" max="11264" width="9" style="312"/>
    <col min="11265" max="11265" width="4.375" style="312" customWidth="1"/>
    <col min="11266" max="11266" width="3" style="312" customWidth="1"/>
    <col min="11267" max="11267" width="81.5" style="312" customWidth="1"/>
    <col min="11268" max="11268" width="12.75" style="312" customWidth="1"/>
    <col min="11269" max="11269" width="12.75" style="312" bestFit="1" customWidth="1"/>
    <col min="11270" max="11270" width="11.875" style="312" bestFit="1" customWidth="1"/>
    <col min="11271" max="11271" width="15.75" style="312" bestFit="1" customWidth="1"/>
    <col min="11272" max="11272" width="0" style="312" hidden="1" customWidth="1"/>
    <col min="11273" max="11273" width="9" style="312"/>
    <col min="11274" max="11274" width="10.875" style="312" customWidth="1"/>
    <col min="11275" max="11520" width="9" style="312"/>
    <col min="11521" max="11521" width="4.375" style="312" customWidth="1"/>
    <col min="11522" max="11522" width="3" style="312" customWidth="1"/>
    <col min="11523" max="11523" width="81.5" style="312" customWidth="1"/>
    <col min="11524" max="11524" width="12.75" style="312" customWidth="1"/>
    <col min="11525" max="11525" width="12.75" style="312" bestFit="1" customWidth="1"/>
    <col min="11526" max="11526" width="11.875" style="312" bestFit="1" customWidth="1"/>
    <col min="11527" max="11527" width="15.75" style="312" bestFit="1" customWidth="1"/>
    <col min="11528" max="11528" width="0" style="312" hidden="1" customWidth="1"/>
    <col min="11529" max="11529" width="9" style="312"/>
    <col min="11530" max="11530" width="10.875" style="312" customWidth="1"/>
    <col min="11531" max="11776" width="9" style="312"/>
    <col min="11777" max="11777" width="4.375" style="312" customWidth="1"/>
    <col min="11778" max="11778" width="3" style="312" customWidth="1"/>
    <col min="11779" max="11779" width="81.5" style="312" customWidth="1"/>
    <col min="11780" max="11780" width="12.75" style="312" customWidth="1"/>
    <col min="11781" max="11781" width="12.75" style="312" bestFit="1" customWidth="1"/>
    <col min="11782" max="11782" width="11.875" style="312" bestFit="1" customWidth="1"/>
    <col min="11783" max="11783" width="15.75" style="312" bestFit="1" customWidth="1"/>
    <col min="11784" max="11784" width="0" style="312" hidden="1" customWidth="1"/>
    <col min="11785" max="11785" width="9" style="312"/>
    <col min="11786" max="11786" width="10.875" style="312" customWidth="1"/>
    <col min="11787" max="12032" width="9" style="312"/>
    <col min="12033" max="12033" width="4.375" style="312" customWidth="1"/>
    <col min="12034" max="12034" width="3" style="312" customWidth="1"/>
    <col min="12035" max="12035" width="81.5" style="312" customWidth="1"/>
    <col min="12036" max="12036" width="12.75" style="312" customWidth="1"/>
    <col min="12037" max="12037" width="12.75" style="312" bestFit="1" customWidth="1"/>
    <col min="12038" max="12038" width="11.875" style="312" bestFit="1" customWidth="1"/>
    <col min="12039" max="12039" width="15.75" style="312" bestFit="1" customWidth="1"/>
    <col min="12040" max="12040" width="0" style="312" hidden="1" customWidth="1"/>
    <col min="12041" max="12041" width="9" style="312"/>
    <col min="12042" max="12042" width="10.875" style="312" customWidth="1"/>
    <col min="12043" max="12288" width="9" style="312"/>
    <col min="12289" max="12289" width="4.375" style="312" customWidth="1"/>
    <col min="12290" max="12290" width="3" style="312" customWidth="1"/>
    <col min="12291" max="12291" width="81.5" style="312" customWidth="1"/>
    <col min="12292" max="12292" width="12.75" style="312" customWidth="1"/>
    <col min="12293" max="12293" width="12.75" style="312" bestFit="1" customWidth="1"/>
    <col min="12294" max="12294" width="11.875" style="312" bestFit="1" customWidth="1"/>
    <col min="12295" max="12295" width="15.75" style="312" bestFit="1" customWidth="1"/>
    <col min="12296" max="12296" width="0" style="312" hidden="1" customWidth="1"/>
    <col min="12297" max="12297" width="9" style="312"/>
    <col min="12298" max="12298" width="10.875" style="312" customWidth="1"/>
    <col min="12299" max="12544" width="9" style="312"/>
    <col min="12545" max="12545" width="4.375" style="312" customWidth="1"/>
    <col min="12546" max="12546" width="3" style="312" customWidth="1"/>
    <col min="12547" max="12547" width="81.5" style="312" customWidth="1"/>
    <col min="12548" max="12548" width="12.75" style="312" customWidth="1"/>
    <col min="12549" max="12549" width="12.75" style="312" bestFit="1" customWidth="1"/>
    <col min="12550" max="12550" width="11.875" style="312" bestFit="1" customWidth="1"/>
    <col min="12551" max="12551" width="15.75" style="312" bestFit="1" customWidth="1"/>
    <col min="12552" max="12552" width="0" style="312" hidden="1" customWidth="1"/>
    <col min="12553" max="12553" width="9" style="312"/>
    <col min="12554" max="12554" width="10.875" style="312" customWidth="1"/>
    <col min="12555" max="12800" width="9" style="312"/>
    <col min="12801" max="12801" width="4.375" style="312" customWidth="1"/>
    <col min="12802" max="12802" width="3" style="312" customWidth="1"/>
    <col min="12803" max="12803" width="81.5" style="312" customWidth="1"/>
    <col min="12804" max="12804" width="12.75" style="312" customWidth="1"/>
    <col min="12805" max="12805" width="12.75" style="312" bestFit="1" customWidth="1"/>
    <col min="12806" max="12806" width="11.875" style="312" bestFit="1" customWidth="1"/>
    <col min="12807" max="12807" width="15.75" style="312" bestFit="1" customWidth="1"/>
    <col min="12808" max="12808" width="0" style="312" hidden="1" customWidth="1"/>
    <col min="12809" max="12809" width="9" style="312"/>
    <col min="12810" max="12810" width="10.875" style="312" customWidth="1"/>
    <col min="12811" max="13056" width="9" style="312"/>
    <col min="13057" max="13057" width="4.375" style="312" customWidth="1"/>
    <col min="13058" max="13058" width="3" style="312" customWidth="1"/>
    <col min="13059" max="13059" width="81.5" style="312" customWidth="1"/>
    <col min="13060" max="13060" width="12.75" style="312" customWidth="1"/>
    <col min="13061" max="13061" width="12.75" style="312" bestFit="1" customWidth="1"/>
    <col min="13062" max="13062" width="11.875" style="312" bestFit="1" customWidth="1"/>
    <col min="13063" max="13063" width="15.75" style="312" bestFit="1" customWidth="1"/>
    <col min="13064" max="13064" width="0" style="312" hidden="1" customWidth="1"/>
    <col min="13065" max="13065" width="9" style="312"/>
    <col min="13066" max="13066" width="10.875" style="312" customWidth="1"/>
    <col min="13067" max="13312" width="9" style="312"/>
    <col min="13313" max="13313" width="4.375" style="312" customWidth="1"/>
    <col min="13314" max="13314" width="3" style="312" customWidth="1"/>
    <col min="13315" max="13315" width="81.5" style="312" customWidth="1"/>
    <col min="13316" max="13316" width="12.75" style="312" customWidth="1"/>
    <col min="13317" max="13317" width="12.75" style="312" bestFit="1" customWidth="1"/>
    <col min="13318" max="13318" width="11.875" style="312" bestFit="1" customWidth="1"/>
    <col min="13319" max="13319" width="15.75" style="312" bestFit="1" customWidth="1"/>
    <col min="13320" max="13320" width="0" style="312" hidden="1" customWidth="1"/>
    <col min="13321" max="13321" width="9" style="312"/>
    <col min="13322" max="13322" width="10.875" style="312" customWidth="1"/>
    <col min="13323" max="13568" width="9" style="312"/>
    <col min="13569" max="13569" width="4.375" style="312" customWidth="1"/>
    <col min="13570" max="13570" width="3" style="312" customWidth="1"/>
    <col min="13571" max="13571" width="81.5" style="312" customWidth="1"/>
    <col min="13572" max="13572" width="12.75" style="312" customWidth="1"/>
    <col min="13573" max="13573" width="12.75" style="312" bestFit="1" customWidth="1"/>
    <col min="13574" max="13574" width="11.875" style="312" bestFit="1" customWidth="1"/>
    <col min="13575" max="13575" width="15.75" style="312" bestFit="1" customWidth="1"/>
    <col min="13576" max="13576" width="0" style="312" hidden="1" customWidth="1"/>
    <col min="13577" max="13577" width="9" style="312"/>
    <col min="13578" max="13578" width="10.875" style="312" customWidth="1"/>
    <col min="13579" max="13824" width="9" style="312"/>
    <col min="13825" max="13825" width="4.375" style="312" customWidth="1"/>
    <col min="13826" max="13826" width="3" style="312" customWidth="1"/>
    <col min="13827" max="13827" width="81.5" style="312" customWidth="1"/>
    <col min="13828" max="13828" width="12.75" style="312" customWidth="1"/>
    <col min="13829" max="13829" width="12.75" style="312" bestFit="1" customWidth="1"/>
    <col min="13830" max="13830" width="11.875" style="312" bestFit="1" customWidth="1"/>
    <col min="13831" max="13831" width="15.75" style="312" bestFit="1" customWidth="1"/>
    <col min="13832" max="13832" width="0" style="312" hidden="1" customWidth="1"/>
    <col min="13833" max="13833" width="9" style="312"/>
    <col min="13834" max="13834" width="10.875" style="312" customWidth="1"/>
    <col min="13835" max="14080" width="9" style="312"/>
    <col min="14081" max="14081" width="4.375" style="312" customWidth="1"/>
    <col min="14082" max="14082" width="3" style="312" customWidth="1"/>
    <col min="14083" max="14083" width="81.5" style="312" customWidth="1"/>
    <col min="14084" max="14084" width="12.75" style="312" customWidth="1"/>
    <col min="14085" max="14085" width="12.75" style="312" bestFit="1" customWidth="1"/>
    <col min="14086" max="14086" width="11.875" style="312" bestFit="1" customWidth="1"/>
    <col min="14087" max="14087" width="15.75" style="312" bestFit="1" customWidth="1"/>
    <col min="14088" max="14088" width="0" style="312" hidden="1" customWidth="1"/>
    <col min="14089" max="14089" width="9" style="312"/>
    <col min="14090" max="14090" width="10.875" style="312" customWidth="1"/>
    <col min="14091" max="14336" width="9" style="312"/>
    <col min="14337" max="14337" width="4.375" style="312" customWidth="1"/>
    <col min="14338" max="14338" width="3" style="312" customWidth="1"/>
    <col min="14339" max="14339" width="81.5" style="312" customWidth="1"/>
    <col min="14340" max="14340" width="12.75" style="312" customWidth="1"/>
    <col min="14341" max="14341" width="12.75" style="312" bestFit="1" customWidth="1"/>
    <col min="14342" max="14342" width="11.875" style="312" bestFit="1" customWidth="1"/>
    <col min="14343" max="14343" width="15.75" style="312" bestFit="1" customWidth="1"/>
    <col min="14344" max="14344" width="0" style="312" hidden="1" customWidth="1"/>
    <col min="14345" max="14345" width="9" style="312"/>
    <col min="14346" max="14346" width="10.875" style="312" customWidth="1"/>
    <col min="14347" max="14592" width="9" style="312"/>
    <col min="14593" max="14593" width="4.375" style="312" customWidth="1"/>
    <col min="14594" max="14594" width="3" style="312" customWidth="1"/>
    <col min="14595" max="14595" width="81.5" style="312" customWidth="1"/>
    <col min="14596" max="14596" width="12.75" style="312" customWidth="1"/>
    <col min="14597" max="14597" width="12.75" style="312" bestFit="1" customWidth="1"/>
    <col min="14598" max="14598" width="11.875" style="312" bestFit="1" customWidth="1"/>
    <col min="14599" max="14599" width="15.75" style="312" bestFit="1" customWidth="1"/>
    <col min="14600" max="14600" width="0" style="312" hidden="1" customWidth="1"/>
    <col min="14601" max="14601" width="9" style="312"/>
    <col min="14602" max="14602" width="10.875" style="312" customWidth="1"/>
    <col min="14603" max="14848" width="9" style="312"/>
    <col min="14849" max="14849" width="4.375" style="312" customWidth="1"/>
    <col min="14850" max="14850" width="3" style="312" customWidth="1"/>
    <col min="14851" max="14851" width="81.5" style="312" customWidth="1"/>
    <col min="14852" max="14852" width="12.75" style="312" customWidth="1"/>
    <col min="14853" max="14853" width="12.75" style="312" bestFit="1" customWidth="1"/>
    <col min="14854" max="14854" width="11.875" style="312" bestFit="1" customWidth="1"/>
    <col min="14855" max="14855" width="15.75" style="312" bestFit="1" customWidth="1"/>
    <col min="14856" max="14856" width="0" style="312" hidden="1" customWidth="1"/>
    <col min="14857" max="14857" width="9" style="312"/>
    <col min="14858" max="14858" width="10.875" style="312" customWidth="1"/>
    <col min="14859" max="15104" width="9" style="312"/>
    <col min="15105" max="15105" width="4.375" style="312" customWidth="1"/>
    <col min="15106" max="15106" width="3" style="312" customWidth="1"/>
    <col min="15107" max="15107" width="81.5" style="312" customWidth="1"/>
    <col min="15108" max="15108" width="12.75" style="312" customWidth="1"/>
    <col min="15109" max="15109" width="12.75" style="312" bestFit="1" customWidth="1"/>
    <col min="15110" max="15110" width="11.875" style="312" bestFit="1" customWidth="1"/>
    <col min="15111" max="15111" width="15.75" style="312" bestFit="1" customWidth="1"/>
    <col min="15112" max="15112" width="0" style="312" hidden="1" customWidth="1"/>
    <col min="15113" max="15113" width="9" style="312"/>
    <col min="15114" max="15114" width="10.875" style="312" customWidth="1"/>
    <col min="15115" max="15360" width="9" style="312"/>
    <col min="15361" max="15361" width="4.375" style="312" customWidth="1"/>
    <col min="15362" max="15362" width="3" style="312" customWidth="1"/>
    <col min="15363" max="15363" width="81.5" style="312" customWidth="1"/>
    <col min="15364" max="15364" width="12.75" style="312" customWidth="1"/>
    <col min="15365" max="15365" width="12.75" style="312" bestFit="1" customWidth="1"/>
    <col min="15366" max="15366" width="11.875" style="312" bestFit="1" customWidth="1"/>
    <col min="15367" max="15367" width="15.75" style="312" bestFit="1" customWidth="1"/>
    <col min="15368" max="15368" width="0" style="312" hidden="1" customWidth="1"/>
    <col min="15369" max="15369" width="9" style="312"/>
    <col min="15370" max="15370" width="10.875" style="312" customWidth="1"/>
    <col min="15371" max="15616" width="9" style="312"/>
    <col min="15617" max="15617" width="4.375" style="312" customWidth="1"/>
    <col min="15618" max="15618" width="3" style="312" customWidth="1"/>
    <col min="15619" max="15619" width="81.5" style="312" customWidth="1"/>
    <col min="15620" max="15620" width="12.75" style="312" customWidth="1"/>
    <col min="15621" max="15621" width="12.75" style="312" bestFit="1" customWidth="1"/>
    <col min="15622" max="15622" width="11.875" style="312" bestFit="1" customWidth="1"/>
    <col min="15623" max="15623" width="15.75" style="312" bestFit="1" customWidth="1"/>
    <col min="15624" max="15624" width="0" style="312" hidden="1" customWidth="1"/>
    <col min="15625" max="15625" width="9" style="312"/>
    <col min="15626" max="15626" width="10.875" style="312" customWidth="1"/>
    <col min="15627" max="15872" width="9" style="312"/>
    <col min="15873" max="15873" width="4.375" style="312" customWidth="1"/>
    <col min="15874" max="15874" width="3" style="312" customWidth="1"/>
    <col min="15875" max="15875" width="81.5" style="312" customWidth="1"/>
    <col min="15876" max="15876" width="12.75" style="312" customWidth="1"/>
    <col min="15877" max="15877" width="12.75" style="312" bestFit="1" customWidth="1"/>
    <col min="15878" max="15878" width="11.875" style="312" bestFit="1" customWidth="1"/>
    <col min="15879" max="15879" width="15.75" style="312" bestFit="1" customWidth="1"/>
    <col min="15880" max="15880" width="0" style="312" hidden="1" customWidth="1"/>
    <col min="15881" max="15881" width="9" style="312"/>
    <col min="15882" max="15882" width="10.875" style="312" customWidth="1"/>
    <col min="15883" max="16128" width="9" style="312"/>
    <col min="16129" max="16129" width="4.375" style="312" customWidth="1"/>
    <col min="16130" max="16130" width="3" style="312" customWidth="1"/>
    <col min="16131" max="16131" width="81.5" style="312" customWidth="1"/>
    <col min="16132" max="16132" width="12.75" style="312" customWidth="1"/>
    <col min="16133" max="16133" width="12.75" style="312" bestFit="1" customWidth="1"/>
    <col min="16134" max="16134" width="11.875" style="312" bestFit="1" customWidth="1"/>
    <col min="16135" max="16135" width="15.75" style="312" bestFit="1" customWidth="1"/>
    <col min="16136" max="16136" width="0" style="312" hidden="1" customWidth="1"/>
    <col min="16137" max="16137" width="9" style="312"/>
    <col min="16138" max="16138" width="10.875" style="312" customWidth="1"/>
    <col min="16139" max="16384" width="9" style="312"/>
  </cols>
  <sheetData>
    <row r="1" spans="1:7">
      <c r="A1" s="311" t="s">
        <v>189</v>
      </c>
      <c r="B1" s="311"/>
      <c r="C1" s="311"/>
      <c r="D1" s="311"/>
    </row>
    <row r="2" spans="1:7">
      <c r="A2" s="311" t="s">
        <v>449</v>
      </c>
      <c r="B2" s="311"/>
      <c r="C2" s="311"/>
      <c r="D2" s="311"/>
    </row>
    <row r="3" spans="1:7" ht="20.25" customHeight="1">
      <c r="A3" s="311" t="s">
        <v>450</v>
      </c>
      <c r="B3" s="311"/>
      <c r="C3" s="311"/>
      <c r="D3" s="311"/>
    </row>
    <row r="5" spans="1:7" s="317" customFormat="1" ht="18.75">
      <c r="A5" s="314" t="s">
        <v>202</v>
      </c>
      <c r="B5" s="1097" t="s">
        <v>451</v>
      </c>
      <c r="C5" s="1098"/>
      <c r="D5" s="315" t="s">
        <v>119</v>
      </c>
      <c r="E5" s="316"/>
    </row>
    <row r="6" spans="1:7" s="317" customFormat="1" ht="19.5" thickBot="1">
      <c r="A6" s="1099" t="s">
        <v>11</v>
      </c>
      <c r="B6" s="1100"/>
      <c r="C6" s="1101"/>
      <c r="D6" s="318">
        <f>+D7+D11+D15+D19+D22+D26+D30+D34+D38</f>
        <v>3975084</v>
      </c>
      <c r="E6" s="319"/>
      <c r="F6" s="320"/>
      <c r="G6" s="319"/>
    </row>
    <row r="7" spans="1:7" s="324" customFormat="1" ht="19.5" thickTop="1">
      <c r="A7" s="314">
        <v>1</v>
      </c>
      <c r="B7" s="321" t="s">
        <v>452</v>
      </c>
      <c r="C7" s="322"/>
      <c r="D7" s="323">
        <f>SUM(D8:D10)</f>
        <v>500000</v>
      </c>
      <c r="F7" s="325"/>
      <c r="G7" s="325"/>
    </row>
    <row r="8" spans="1:7" s="317" customFormat="1" ht="18.75">
      <c r="A8" s="326"/>
      <c r="B8" s="327" t="s">
        <v>453</v>
      </c>
      <c r="C8" s="328" t="s">
        <v>454</v>
      </c>
      <c r="D8" s="329">
        <v>500000</v>
      </c>
    </row>
    <row r="9" spans="1:7" s="317" customFormat="1" ht="18.75">
      <c r="A9" s="326"/>
      <c r="B9" s="327"/>
      <c r="C9" s="328"/>
      <c r="D9" s="329"/>
    </row>
    <row r="10" spans="1:7" s="317" customFormat="1" ht="18.75">
      <c r="A10" s="330"/>
      <c r="B10" s="331"/>
      <c r="C10" s="332"/>
      <c r="D10" s="333"/>
    </row>
    <row r="11" spans="1:7" s="324" customFormat="1" ht="18.75">
      <c r="A11" s="314">
        <v>2</v>
      </c>
      <c r="B11" s="321" t="s">
        <v>455</v>
      </c>
      <c r="C11" s="322"/>
      <c r="D11" s="334">
        <f>SUM(D12:D14)</f>
        <v>2475084</v>
      </c>
    </row>
    <row r="12" spans="1:7" s="317" customFormat="1" ht="18.75">
      <c r="A12" s="326"/>
      <c r="B12" s="327" t="s">
        <v>453</v>
      </c>
      <c r="C12" s="335" t="s">
        <v>456</v>
      </c>
      <c r="D12" s="329">
        <f>+'[27]รายละเอียดโครงการ1-8'!E9+'[27]รายละเอียดโครงการ1-8'!F9</f>
        <v>2475084</v>
      </c>
    </row>
    <row r="13" spans="1:7" s="317" customFormat="1" ht="18.75">
      <c r="A13" s="326"/>
      <c r="B13" s="327"/>
      <c r="C13" s="335"/>
      <c r="D13" s="329"/>
    </row>
    <row r="14" spans="1:7" s="317" customFormat="1" ht="18.75">
      <c r="A14" s="330"/>
      <c r="B14" s="331"/>
      <c r="C14" s="332"/>
      <c r="D14" s="333"/>
    </row>
    <row r="15" spans="1:7" s="324" customFormat="1" ht="18.75">
      <c r="A15" s="336">
        <v>3</v>
      </c>
      <c r="B15" s="337" t="s">
        <v>457</v>
      </c>
      <c r="C15" s="338"/>
      <c r="D15" s="339">
        <f>SUM(D16:D18)</f>
        <v>400000</v>
      </c>
    </row>
    <row r="16" spans="1:7" s="317" customFormat="1" ht="18.75">
      <c r="A16" s="326"/>
      <c r="B16" s="327" t="s">
        <v>453</v>
      </c>
      <c r="C16" s="335" t="s">
        <v>458</v>
      </c>
      <c r="D16" s="329">
        <v>400000</v>
      </c>
    </row>
    <row r="17" spans="1:7" s="317" customFormat="1" ht="18.75">
      <c r="A17" s="326"/>
      <c r="B17" s="327"/>
      <c r="C17" s="335"/>
      <c r="D17" s="329"/>
    </row>
    <row r="18" spans="1:7" s="317" customFormat="1" ht="18.75">
      <c r="A18" s="330"/>
      <c r="B18" s="331"/>
      <c r="C18" s="332"/>
      <c r="D18" s="333"/>
    </row>
    <row r="19" spans="1:7" s="324" customFormat="1" ht="18.75">
      <c r="A19" s="314">
        <v>4</v>
      </c>
      <c r="B19" s="321" t="s">
        <v>189</v>
      </c>
      <c r="C19" s="322"/>
      <c r="D19" s="334">
        <f>SUM(D20:D21)</f>
        <v>600000</v>
      </c>
    </row>
    <row r="20" spans="1:7" s="317" customFormat="1" ht="18.75">
      <c r="A20" s="326"/>
      <c r="B20" s="327" t="s">
        <v>453</v>
      </c>
      <c r="C20" s="335" t="s">
        <v>459</v>
      </c>
      <c r="D20" s="329">
        <v>600000</v>
      </c>
    </row>
    <row r="21" spans="1:7" s="317" customFormat="1" ht="18.75">
      <c r="A21" s="330"/>
      <c r="B21" s="331"/>
      <c r="C21" s="332"/>
      <c r="D21" s="333"/>
    </row>
    <row r="22" spans="1:7" s="317" customFormat="1" ht="18.75" hidden="1">
      <c r="A22" s="314">
        <v>5</v>
      </c>
      <c r="B22" s="321" t="s">
        <v>460</v>
      </c>
      <c r="C22" s="322"/>
      <c r="D22" s="334">
        <f>SUM(D23:D25)</f>
        <v>0</v>
      </c>
    </row>
    <row r="23" spans="1:7" s="317" customFormat="1" ht="18.75" hidden="1">
      <c r="A23" s="326"/>
      <c r="B23" s="327" t="s">
        <v>453</v>
      </c>
      <c r="C23" s="340"/>
      <c r="D23" s="329"/>
    </row>
    <row r="24" spans="1:7" s="317" customFormat="1" ht="18.75" hidden="1">
      <c r="A24" s="326"/>
      <c r="B24" s="327"/>
      <c r="C24" s="340"/>
      <c r="D24" s="329"/>
    </row>
    <row r="25" spans="1:7" s="317" customFormat="1" ht="18.75" hidden="1">
      <c r="A25" s="330"/>
      <c r="B25" s="331"/>
      <c r="C25" s="332"/>
      <c r="D25" s="333"/>
    </row>
    <row r="26" spans="1:7" s="317" customFormat="1" ht="18.75" hidden="1">
      <c r="A26" s="314"/>
      <c r="B26" s="321"/>
      <c r="C26" s="322"/>
      <c r="D26" s="334">
        <f>SUM(D27)</f>
        <v>0</v>
      </c>
      <c r="F26" s="341"/>
      <c r="G26" s="320"/>
    </row>
    <row r="27" spans="1:7" s="317" customFormat="1" ht="18.75" hidden="1">
      <c r="A27" s="326"/>
      <c r="B27" s="327" t="s">
        <v>453</v>
      </c>
      <c r="C27" s="335"/>
      <c r="D27" s="329"/>
      <c r="F27" s="342"/>
    </row>
    <row r="28" spans="1:7" s="317" customFormat="1" ht="18.75" hidden="1">
      <c r="A28" s="326"/>
      <c r="B28" s="327"/>
      <c r="C28" s="340"/>
      <c r="D28" s="329"/>
    </row>
    <row r="29" spans="1:7" s="317" customFormat="1" ht="18.75" hidden="1">
      <c r="A29" s="330"/>
      <c r="B29" s="343"/>
      <c r="C29" s="332"/>
      <c r="D29" s="333"/>
    </row>
    <row r="30" spans="1:7" s="317" customFormat="1" ht="18.75" hidden="1">
      <c r="A30" s="314"/>
      <c r="B30" s="321"/>
      <c r="C30" s="322"/>
      <c r="D30" s="334">
        <f>SUM(D31)</f>
        <v>0</v>
      </c>
      <c r="F30" s="341"/>
      <c r="G30" s="320"/>
    </row>
    <row r="31" spans="1:7" s="317" customFormat="1" ht="18.75" hidden="1">
      <c r="A31" s="326"/>
      <c r="B31" s="327" t="s">
        <v>453</v>
      </c>
      <c r="C31" s="340"/>
      <c r="D31" s="329"/>
      <c r="G31" s="344"/>
    </row>
    <row r="32" spans="1:7" s="317" customFormat="1" ht="18.75" hidden="1">
      <c r="A32" s="326"/>
      <c r="B32" s="327"/>
      <c r="C32" s="340"/>
      <c r="D32" s="329"/>
    </row>
    <row r="33" spans="1:7" s="317" customFormat="1" ht="18.75" hidden="1">
      <c r="A33" s="330"/>
      <c r="B33" s="331"/>
      <c r="C33" s="332"/>
      <c r="D33" s="333"/>
      <c r="G33" s="316"/>
    </row>
    <row r="34" spans="1:7" s="317" customFormat="1" ht="18.75" hidden="1">
      <c r="A34" s="345"/>
      <c r="B34" s="346"/>
      <c r="C34" s="347"/>
      <c r="D34" s="334"/>
    </row>
    <row r="35" spans="1:7" s="317" customFormat="1" ht="18.75" hidden="1">
      <c r="A35" s="326"/>
      <c r="B35" s="327"/>
      <c r="C35" s="340"/>
      <c r="D35" s="329"/>
    </row>
    <row r="36" spans="1:7" s="317" customFormat="1" ht="18.75" hidden="1">
      <c r="A36" s="326"/>
      <c r="B36" s="327"/>
      <c r="C36" s="340"/>
      <c r="D36" s="329"/>
    </row>
    <row r="37" spans="1:7" s="317" customFormat="1" ht="18.75" hidden="1">
      <c r="A37" s="330"/>
      <c r="B37" s="331"/>
      <c r="C37" s="332"/>
      <c r="D37" s="333"/>
    </row>
    <row r="38" spans="1:7" s="324" customFormat="1" ht="18.75" hidden="1">
      <c r="A38" s="314"/>
      <c r="B38" s="321"/>
      <c r="C38" s="322"/>
      <c r="D38" s="334">
        <f>SUM(D39:D41)</f>
        <v>0</v>
      </c>
    </row>
    <row r="39" spans="1:7" s="317" customFormat="1" ht="18.75" hidden="1">
      <c r="A39" s="326"/>
      <c r="B39" s="327"/>
      <c r="C39" s="348"/>
      <c r="D39" s="329"/>
    </row>
    <row r="40" spans="1:7" s="317" customFormat="1" ht="18.75" hidden="1">
      <c r="A40" s="326"/>
      <c r="B40" s="327"/>
      <c r="C40" s="349"/>
      <c r="D40" s="329"/>
    </row>
    <row r="41" spans="1:7" s="317" customFormat="1" ht="18.75" hidden="1">
      <c r="A41" s="330"/>
      <c r="B41" s="343"/>
      <c r="C41" s="350"/>
      <c r="D41" s="333"/>
    </row>
    <row r="42" spans="1:7" s="324" customFormat="1" ht="18.75">
      <c r="A42" s="351"/>
      <c r="B42" s="352"/>
      <c r="C42" s="353"/>
      <c r="D42" s="354"/>
    </row>
    <row r="43" spans="1:7" s="317" customFormat="1" ht="18.75">
      <c r="A43" s="1102"/>
      <c r="B43" s="1102"/>
      <c r="C43" s="1102"/>
      <c r="D43" s="355"/>
      <c r="E43" s="316"/>
    </row>
    <row r="44" spans="1:7" s="317" customFormat="1" ht="18.75" hidden="1">
      <c r="A44" s="356"/>
      <c r="B44" s="357"/>
      <c r="C44" s="357"/>
      <c r="D44" s="355"/>
      <c r="E44" s="316"/>
    </row>
    <row r="45" spans="1:7" s="362" customFormat="1" ht="19.5" hidden="1" thickBot="1">
      <c r="A45" s="358"/>
      <c r="B45" s="359"/>
      <c r="C45" s="360" t="s">
        <v>11</v>
      </c>
      <c r="D45" s="361">
        <f>SUM(D43:D44)</f>
        <v>0</v>
      </c>
      <c r="F45" s="363"/>
      <c r="G45" s="363"/>
    </row>
    <row r="46" spans="1:7" s="362" customFormat="1" ht="18.75" hidden="1">
      <c r="A46" s="364"/>
      <c r="B46" s="359"/>
      <c r="C46" s="365"/>
      <c r="D46" s="366"/>
      <c r="F46" s="363"/>
      <c r="G46" s="363"/>
    </row>
    <row r="47" spans="1:7" s="368" customFormat="1" ht="18.75">
      <c r="A47" s="367"/>
      <c r="D47" s="369"/>
      <c r="G47" s="370"/>
    </row>
    <row r="48" spans="1:7" s="362" customFormat="1" ht="18.75">
      <c r="A48" s="371"/>
      <c r="D48" s="366"/>
      <c r="G48" s="363"/>
    </row>
    <row r="49" spans="1:7">
      <c r="A49" s="17"/>
      <c r="B49" s="17"/>
      <c r="C49" s="372"/>
      <c r="D49" s="17"/>
      <c r="G49" s="373"/>
    </row>
    <row r="50" spans="1:7">
      <c r="A50" s="17"/>
      <c r="B50" s="17"/>
      <c r="C50" s="372"/>
      <c r="G50" s="373"/>
    </row>
    <row r="51" spans="1:7">
      <c r="A51" s="17"/>
      <c r="B51" s="17"/>
      <c r="C51" s="372"/>
      <c r="G51" s="373"/>
    </row>
    <row r="52" spans="1:7">
      <c r="A52" s="17"/>
      <c r="B52" s="17"/>
      <c r="C52" s="372"/>
      <c r="G52" s="374"/>
    </row>
    <row r="53" spans="1:7">
      <c r="A53" s="17"/>
      <c r="B53" s="17"/>
      <c r="C53" s="372"/>
    </row>
    <row r="54" spans="1:7">
      <c r="A54" s="17"/>
      <c r="B54" s="17"/>
      <c r="C54" s="372"/>
    </row>
    <row r="55" spans="1:7">
      <c r="A55" s="17"/>
      <c r="B55" s="17"/>
      <c r="C55" s="372"/>
    </row>
    <row r="56" spans="1:7">
      <c r="A56" s="17"/>
      <c r="B56" s="17"/>
      <c r="C56" s="372"/>
    </row>
    <row r="57" spans="1:7">
      <c r="A57" s="17"/>
      <c r="B57" s="17"/>
      <c r="C57" s="372"/>
    </row>
    <row r="58" spans="1:7">
      <c r="A58" s="17"/>
      <c r="B58" s="17"/>
      <c r="C58" s="372"/>
    </row>
    <row r="59" spans="1:7">
      <c r="A59" s="17"/>
      <c r="B59" s="17"/>
      <c r="C59" s="372"/>
    </row>
    <row r="60" spans="1:7">
      <c r="A60" s="17"/>
      <c r="B60" s="17"/>
      <c r="C60" s="372"/>
    </row>
    <row r="61" spans="1:7">
      <c r="A61" s="17"/>
      <c r="B61" s="17"/>
      <c r="C61" s="372"/>
    </row>
    <row r="62" spans="1:7">
      <c r="A62" s="17"/>
      <c r="B62" s="17"/>
      <c r="C62" s="372"/>
    </row>
    <row r="63" spans="1:7">
      <c r="A63" s="17"/>
      <c r="B63" s="17"/>
      <c r="C63" s="372"/>
    </row>
    <row r="64" spans="1:7">
      <c r="A64" s="17"/>
      <c r="B64" s="17"/>
      <c r="C64" s="372"/>
    </row>
    <row r="65" spans="1:3">
      <c r="A65" s="17"/>
      <c r="B65" s="17"/>
      <c r="C65" s="372"/>
    </row>
    <row r="66" spans="1:3">
      <c r="A66" s="17"/>
      <c r="B66" s="17"/>
      <c r="C66" s="372"/>
    </row>
  </sheetData>
  <mergeCells count="3">
    <mergeCell ref="B5:C5"/>
    <mergeCell ref="A6:C6"/>
    <mergeCell ref="A43:C4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09"/>
  <sheetViews>
    <sheetView workbookViewId="0">
      <selection activeCell="I13" sqref="I13"/>
    </sheetView>
  </sheetViews>
  <sheetFormatPr defaultRowHeight="21"/>
  <cols>
    <col min="1" max="1" width="2.5" style="461" customWidth="1"/>
    <col min="2" max="2" width="30.5" style="461" customWidth="1"/>
    <col min="3" max="3" width="9.25" style="461" hidden="1" customWidth="1"/>
    <col min="4" max="4" width="11.5" style="461" hidden="1" customWidth="1"/>
    <col min="5" max="6" width="15.875" style="462" customWidth="1"/>
    <col min="7" max="7" width="20.75" style="462" customWidth="1"/>
    <col min="8" max="8" width="14.75" style="462" customWidth="1"/>
    <col min="9" max="9" width="15.125" style="462" customWidth="1"/>
    <col min="10" max="10" width="13.875" style="462" customWidth="1"/>
    <col min="11" max="11" width="15.125" style="462" customWidth="1"/>
    <col min="12" max="12" width="15" style="463" customWidth="1"/>
    <col min="13" max="13" width="13.125" style="462" customWidth="1"/>
    <col min="14" max="14" width="12.75" style="461" customWidth="1"/>
    <col min="15" max="256" width="9" style="461"/>
    <col min="257" max="257" width="2.5" style="461" customWidth="1"/>
    <col min="258" max="258" width="30.5" style="461" customWidth="1"/>
    <col min="259" max="260" width="0" style="461" hidden="1" customWidth="1"/>
    <col min="261" max="262" width="15.875" style="461" customWidth="1"/>
    <col min="263" max="263" width="20.75" style="461" customWidth="1"/>
    <col min="264" max="264" width="14.75" style="461" customWidth="1"/>
    <col min="265" max="265" width="15.125" style="461" customWidth="1"/>
    <col min="266" max="266" width="13.875" style="461" customWidth="1"/>
    <col min="267" max="267" width="15.125" style="461" customWidth="1"/>
    <col min="268" max="268" width="15" style="461" customWidth="1"/>
    <col min="269" max="269" width="13.125" style="461" customWidth="1"/>
    <col min="270" max="270" width="12.75" style="461" customWidth="1"/>
    <col min="271" max="512" width="9" style="461"/>
    <col min="513" max="513" width="2.5" style="461" customWidth="1"/>
    <col min="514" max="514" width="30.5" style="461" customWidth="1"/>
    <col min="515" max="516" width="0" style="461" hidden="1" customWidth="1"/>
    <col min="517" max="518" width="15.875" style="461" customWidth="1"/>
    <col min="519" max="519" width="20.75" style="461" customWidth="1"/>
    <col min="520" max="520" width="14.75" style="461" customWidth="1"/>
    <col min="521" max="521" width="15.125" style="461" customWidth="1"/>
    <col min="522" max="522" width="13.875" style="461" customWidth="1"/>
    <col min="523" max="523" width="15.125" style="461" customWidth="1"/>
    <col min="524" max="524" width="15" style="461" customWidth="1"/>
    <col min="525" max="525" width="13.125" style="461" customWidth="1"/>
    <col min="526" max="526" width="12.75" style="461" customWidth="1"/>
    <col min="527" max="768" width="9" style="461"/>
    <col min="769" max="769" width="2.5" style="461" customWidth="1"/>
    <col min="770" max="770" width="30.5" style="461" customWidth="1"/>
    <col min="771" max="772" width="0" style="461" hidden="1" customWidth="1"/>
    <col min="773" max="774" width="15.875" style="461" customWidth="1"/>
    <col min="775" max="775" width="20.75" style="461" customWidth="1"/>
    <col min="776" max="776" width="14.75" style="461" customWidth="1"/>
    <col min="777" max="777" width="15.125" style="461" customWidth="1"/>
    <col min="778" max="778" width="13.875" style="461" customWidth="1"/>
    <col min="779" max="779" width="15.125" style="461" customWidth="1"/>
    <col min="780" max="780" width="15" style="461" customWidth="1"/>
    <col min="781" max="781" width="13.125" style="461" customWidth="1"/>
    <col min="782" max="782" width="12.75" style="461" customWidth="1"/>
    <col min="783" max="1024" width="9" style="461"/>
    <col min="1025" max="1025" width="2.5" style="461" customWidth="1"/>
    <col min="1026" max="1026" width="30.5" style="461" customWidth="1"/>
    <col min="1027" max="1028" width="0" style="461" hidden="1" customWidth="1"/>
    <col min="1029" max="1030" width="15.875" style="461" customWidth="1"/>
    <col min="1031" max="1031" width="20.75" style="461" customWidth="1"/>
    <col min="1032" max="1032" width="14.75" style="461" customWidth="1"/>
    <col min="1033" max="1033" width="15.125" style="461" customWidth="1"/>
    <col min="1034" max="1034" width="13.875" style="461" customWidth="1"/>
    <col min="1035" max="1035" width="15.125" style="461" customWidth="1"/>
    <col min="1036" max="1036" width="15" style="461" customWidth="1"/>
    <col min="1037" max="1037" width="13.125" style="461" customWidth="1"/>
    <col min="1038" max="1038" width="12.75" style="461" customWidth="1"/>
    <col min="1039" max="1280" width="9" style="461"/>
    <col min="1281" max="1281" width="2.5" style="461" customWidth="1"/>
    <col min="1282" max="1282" width="30.5" style="461" customWidth="1"/>
    <col min="1283" max="1284" width="0" style="461" hidden="1" customWidth="1"/>
    <col min="1285" max="1286" width="15.875" style="461" customWidth="1"/>
    <col min="1287" max="1287" width="20.75" style="461" customWidth="1"/>
    <col min="1288" max="1288" width="14.75" style="461" customWidth="1"/>
    <col min="1289" max="1289" width="15.125" style="461" customWidth="1"/>
    <col min="1290" max="1290" width="13.875" style="461" customWidth="1"/>
    <col min="1291" max="1291" width="15.125" style="461" customWidth="1"/>
    <col min="1292" max="1292" width="15" style="461" customWidth="1"/>
    <col min="1293" max="1293" width="13.125" style="461" customWidth="1"/>
    <col min="1294" max="1294" width="12.75" style="461" customWidth="1"/>
    <col min="1295" max="1536" width="9" style="461"/>
    <col min="1537" max="1537" width="2.5" style="461" customWidth="1"/>
    <col min="1538" max="1538" width="30.5" style="461" customWidth="1"/>
    <col min="1539" max="1540" width="0" style="461" hidden="1" customWidth="1"/>
    <col min="1541" max="1542" width="15.875" style="461" customWidth="1"/>
    <col min="1543" max="1543" width="20.75" style="461" customWidth="1"/>
    <col min="1544" max="1544" width="14.75" style="461" customWidth="1"/>
    <col min="1545" max="1545" width="15.125" style="461" customWidth="1"/>
    <col min="1546" max="1546" width="13.875" style="461" customWidth="1"/>
    <col min="1547" max="1547" width="15.125" style="461" customWidth="1"/>
    <col min="1548" max="1548" width="15" style="461" customWidth="1"/>
    <col min="1549" max="1549" width="13.125" style="461" customWidth="1"/>
    <col min="1550" max="1550" width="12.75" style="461" customWidth="1"/>
    <col min="1551" max="1792" width="9" style="461"/>
    <col min="1793" max="1793" width="2.5" style="461" customWidth="1"/>
    <col min="1794" max="1794" width="30.5" style="461" customWidth="1"/>
    <col min="1795" max="1796" width="0" style="461" hidden="1" customWidth="1"/>
    <col min="1797" max="1798" width="15.875" style="461" customWidth="1"/>
    <col min="1799" max="1799" width="20.75" style="461" customWidth="1"/>
    <col min="1800" max="1800" width="14.75" style="461" customWidth="1"/>
    <col min="1801" max="1801" width="15.125" style="461" customWidth="1"/>
    <col min="1802" max="1802" width="13.875" style="461" customWidth="1"/>
    <col min="1803" max="1803" width="15.125" style="461" customWidth="1"/>
    <col min="1804" max="1804" width="15" style="461" customWidth="1"/>
    <col min="1805" max="1805" width="13.125" style="461" customWidth="1"/>
    <col min="1806" max="1806" width="12.75" style="461" customWidth="1"/>
    <col min="1807" max="2048" width="9" style="461"/>
    <col min="2049" max="2049" width="2.5" style="461" customWidth="1"/>
    <col min="2050" max="2050" width="30.5" style="461" customWidth="1"/>
    <col min="2051" max="2052" width="0" style="461" hidden="1" customWidth="1"/>
    <col min="2053" max="2054" width="15.875" style="461" customWidth="1"/>
    <col min="2055" max="2055" width="20.75" style="461" customWidth="1"/>
    <col min="2056" max="2056" width="14.75" style="461" customWidth="1"/>
    <col min="2057" max="2057" width="15.125" style="461" customWidth="1"/>
    <col min="2058" max="2058" width="13.875" style="461" customWidth="1"/>
    <col min="2059" max="2059" width="15.125" style="461" customWidth="1"/>
    <col min="2060" max="2060" width="15" style="461" customWidth="1"/>
    <col min="2061" max="2061" width="13.125" style="461" customWidth="1"/>
    <col min="2062" max="2062" width="12.75" style="461" customWidth="1"/>
    <col min="2063" max="2304" width="9" style="461"/>
    <col min="2305" max="2305" width="2.5" style="461" customWidth="1"/>
    <col min="2306" max="2306" width="30.5" style="461" customWidth="1"/>
    <col min="2307" max="2308" width="0" style="461" hidden="1" customWidth="1"/>
    <col min="2309" max="2310" width="15.875" style="461" customWidth="1"/>
    <col min="2311" max="2311" width="20.75" style="461" customWidth="1"/>
    <col min="2312" max="2312" width="14.75" style="461" customWidth="1"/>
    <col min="2313" max="2313" width="15.125" style="461" customWidth="1"/>
    <col min="2314" max="2314" width="13.875" style="461" customWidth="1"/>
    <col min="2315" max="2315" width="15.125" style="461" customWidth="1"/>
    <col min="2316" max="2316" width="15" style="461" customWidth="1"/>
    <col min="2317" max="2317" width="13.125" style="461" customWidth="1"/>
    <col min="2318" max="2318" width="12.75" style="461" customWidth="1"/>
    <col min="2319" max="2560" width="9" style="461"/>
    <col min="2561" max="2561" width="2.5" style="461" customWidth="1"/>
    <col min="2562" max="2562" width="30.5" style="461" customWidth="1"/>
    <col min="2563" max="2564" width="0" style="461" hidden="1" customWidth="1"/>
    <col min="2565" max="2566" width="15.875" style="461" customWidth="1"/>
    <col min="2567" max="2567" width="20.75" style="461" customWidth="1"/>
    <col min="2568" max="2568" width="14.75" style="461" customWidth="1"/>
    <col min="2569" max="2569" width="15.125" style="461" customWidth="1"/>
    <col min="2570" max="2570" width="13.875" style="461" customWidth="1"/>
    <col min="2571" max="2571" width="15.125" style="461" customWidth="1"/>
    <col min="2572" max="2572" width="15" style="461" customWidth="1"/>
    <col min="2573" max="2573" width="13.125" style="461" customWidth="1"/>
    <col min="2574" max="2574" width="12.75" style="461" customWidth="1"/>
    <col min="2575" max="2816" width="9" style="461"/>
    <col min="2817" max="2817" width="2.5" style="461" customWidth="1"/>
    <col min="2818" max="2818" width="30.5" style="461" customWidth="1"/>
    <col min="2819" max="2820" width="0" style="461" hidden="1" customWidth="1"/>
    <col min="2821" max="2822" width="15.875" style="461" customWidth="1"/>
    <col min="2823" max="2823" width="20.75" style="461" customWidth="1"/>
    <col min="2824" max="2824" width="14.75" style="461" customWidth="1"/>
    <col min="2825" max="2825" width="15.125" style="461" customWidth="1"/>
    <col min="2826" max="2826" width="13.875" style="461" customWidth="1"/>
    <col min="2827" max="2827" width="15.125" style="461" customWidth="1"/>
    <col min="2828" max="2828" width="15" style="461" customWidth="1"/>
    <col min="2829" max="2829" width="13.125" style="461" customWidth="1"/>
    <col min="2830" max="2830" width="12.75" style="461" customWidth="1"/>
    <col min="2831" max="3072" width="9" style="461"/>
    <col min="3073" max="3073" width="2.5" style="461" customWidth="1"/>
    <col min="3074" max="3074" width="30.5" style="461" customWidth="1"/>
    <col min="3075" max="3076" width="0" style="461" hidden="1" customWidth="1"/>
    <col min="3077" max="3078" width="15.875" style="461" customWidth="1"/>
    <col min="3079" max="3079" width="20.75" style="461" customWidth="1"/>
    <col min="3080" max="3080" width="14.75" style="461" customWidth="1"/>
    <col min="3081" max="3081" width="15.125" style="461" customWidth="1"/>
    <col min="3082" max="3082" width="13.875" style="461" customWidth="1"/>
    <col min="3083" max="3083" width="15.125" style="461" customWidth="1"/>
    <col min="3084" max="3084" width="15" style="461" customWidth="1"/>
    <col min="3085" max="3085" width="13.125" style="461" customWidth="1"/>
    <col min="3086" max="3086" width="12.75" style="461" customWidth="1"/>
    <col min="3087" max="3328" width="9" style="461"/>
    <col min="3329" max="3329" width="2.5" style="461" customWidth="1"/>
    <col min="3330" max="3330" width="30.5" style="461" customWidth="1"/>
    <col min="3331" max="3332" width="0" style="461" hidden="1" customWidth="1"/>
    <col min="3333" max="3334" width="15.875" style="461" customWidth="1"/>
    <col min="3335" max="3335" width="20.75" style="461" customWidth="1"/>
    <col min="3336" max="3336" width="14.75" style="461" customWidth="1"/>
    <col min="3337" max="3337" width="15.125" style="461" customWidth="1"/>
    <col min="3338" max="3338" width="13.875" style="461" customWidth="1"/>
    <col min="3339" max="3339" width="15.125" style="461" customWidth="1"/>
    <col min="3340" max="3340" width="15" style="461" customWidth="1"/>
    <col min="3341" max="3341" width="13.125" style="461" customWidth="1"/>
    <col min="3342" max="3342" width="12.75" style="461" customWidth="1"/>
    <col min="3343" max="3584" width="9" style="461"/>
    <col min="3585" max="3585" width="2.5" style="461" customWidth="1"/>
    <col min="3586" max="3586" width="30.5" style="461" customWidth="1"/>
    <col min="3587" max="3588" width="0" style="461" hidden="1" customWidth="1"/>
    <col min="3589" max="3590" width="15.875" style="461" customWidth="1"/>
    <col min="3591" max="3591" width="20.75" style="461" customWidth="1"/>
    <col min="3592" max="3592" width="14.75" style="461" customWidth="1"/>
    <col min="3593" max="3593" width="15.125" style="461" customWidth="1"/>
    <col min="3594" max="3594" width="13.875" style="461" customWidth="1"/>
    <col min="3595" max="3595" width="15.125" style="461" customWidth="1"/>
    <col min="3596" max="3596" width="15" style="461" customWidth="1"/>
    <col min="3597" max="3597" width="13.125" style="461" customWidth="1"/>
    <col min="3598" max="3598" width="12.75" style="461" customWidth="1"/>
    <col min="3599" max="3840" width="9" style="461"/>
    <col min="3841" max="3841" width="2.5" style="461" customWidth="1"/>
    <col min="3842" max="3842" width="30.5" style="461" customWidth="1"/>
    <col min="3843" max="3844" width="0" style="461" hidden="1" customWidth="1"/>
    <col min="3845" max="3846" width="15.875" style="461" customWidth="1"/>
    <col min="3847" max="3847" width="20.75" style="461" customWidth="1"/>
    <col min="3848" max="3848" width="14.75" style="461" customWidth="1"/>
    <col min="3849" max="3849" width="15.125" style="461" customWidth="1"/>
    <col min="3850" max="3850" width="13.875" style="461" customWidth="1"/>
    <col min="3851" max="3851" width="15.125" style="461" customWidth="1"/>
    <col min="3852" max="3852" width="15" style="461" customWidth="1"/>
    <col min="3853" max="3853" width="13.125" style="461" customWidth="1"/>
    <col min="3854" max="3854" width="12.75" style="461" customWidth="1"/>
    <col min="3855" max="4096" width="9" style="461"/>
    <col min="4097" max="4097" width="2.5" style="461" customWidth="1"/>
    <col min="4098" max="4098" width="30.5" style="461" customWidth="1"/>
    <col min="4099" max="4100" width="0" style="461" hidden="1" customWidth="1"/>
    <col min="4101" max="4102" width="15.875" style="461" customWidth="1"/>
    <col min="4103" max="4103" width="20.75" style="461" customWidth="1"/>
    <col min="4104" max="4104" width="14.75" style="461" customWidth="1"/>
    <col min="4105" max="4105" width="15.125" style="461" customWidth="1"/>
    <col min="4106" max="4106" width="13.875" style="461" customWidth="1"/>
    <col min="4107" max="4107" width="15.125" style="461" customWidth="1"/>
    <col min="4108" max="4108" width="15" style="461" customWidth="1"/>
    <col min="4109" max="4109" width="13.125" style="461" customWidth="1"/>
    <col min="4110" max="4110" width="12.75" style="461" customWidth="1"/>
    <col min="4111" max="4352" width="9" style="461"/>
    <col min="4353" max="4353" width="2.5" style="461" customWidth="1"/>
    <col min="4354" max="4354" width="30.5" style="461" customWidth="1"/>
    <col min="4355" max="4356" width="0" style="461" hidden="1" customWidth="1"/>
    <col min="4357" max="4358" width="15.875" style="461" customWidth="1"/>
    <col min="4359" max="4359" width="20.75" style="461" customWidth="1"/>
    <col min="4360" max="4360" width="14.75" style="461" customWidth="1"/>
    <col min="4361" max="4361" width="15.125" style="461" customWidth="1"/>
    <col min="4362" max="4362" width="13.875" style="461" customWidth="1"/>
    <col min="4363" max="4363" width="15.125" style="461" customWidth="1"/>
    <col min="4364" max="4364" width="15" style="461" customWidth="1"/>
    <col min="4365" max="4365" width="13.125" style="461" customWidth="1"/>
    <col min="4366" max="4366" width="12.75" style="461" customWidth="1"/>
    <col min="4367" max="4608" width="9" style="461"/>
    <col min="4609" max="4609" width="2.5" style="461" customWidth="1"/>
    <col min="4610" max="4610" width="30.5" style="461" customWidth="1"/>
    <col min="4611" max="4612" width="0" style="461" hidden="1" customWidth="1"/>
    <col min="4613" max="4614" width="15.875" style="461" customWidth="1"/>
    <col min="4615" max="4615" width="20.75" style="461" customWidth="1"/>
    <col min="4616" max="4616" width="14.75" style="461" customWidth="1"/>
    <col min="4617" max="4617" width="15.125" style="461" customWidth="1"/>
    <col min="4618" max="4618" width="13.875" style="461" customWidth="1"/>
    <col min="4619" max="4619" width="15.125" style="461" customWidth="1"/>
    <col min="4620" max="4620" width="15" style="461" customWidth="1"/>
    <col min="4621" max="4621" width="13.125" style="461" customWidth="1"/>
    <col min="4622" max="4622" width="12.75" style="461" customWidth="1"/>
    <col min="4623" max="4864" width="9" style="461"/>
    <col min="4865" max="4865" width="2.5" style="461" customWidth="1"/>
    <col min="4866" max="4866" width="30.5" style="461" customWidth="1"/>
    <col min="4867" max="4868" width="0" style="461" hidden="1" customWidth="1"/>
    <col min="4869" max="4870" width="15.875" style="461" customWidth="1"/>
    <col min="4871" max="4871" width="20.75" style="461" customWidth="1"/>
    <col min="4872" max="4872" width="14.75" style="461" customWidth="1"/>
    <col min="4873" max="4873" width="15.125" style="461" customWidth="1"/>
    <col min="4874" max="4874" width="13.875" style="461" customWidth="1"/>
    <col min="4875" max="4875" width="15.125" style="461" customWidth="1"/>
    <col min="4876" max="4876" width="15" style="461" customWidth="1"/>
    <col min="4877" max="4877" width="13.125" style="461" customWidth="1"/>
    <col min="4878" max="4878" width="12.75" style="461" customWidth="1"/>
    <col min="4879" max="5120" width="9" style="461"/>
    <col min="5121" max="5121" width="2.5" style="461" customWidth="1"/>
    <col min="5122" max="5122" width="30.5" style="461" customWidth="1"/>
    <col min="5123" max="5124" width="0" style="461" hidden="1" customWidth="1"/>
    <col min="5125" max="5126" width="15.875" style="461" customWidth="1"/>
    <col min="5127" max="5127" width="20.75" style="461" customWidth="1"/>
    <col min="5128" max="5128" width="14.75" style="461" customWidth="1"/>
    <col min="5129" max="5129" width="15.125" style="461" customWidth="1"/>
    <col min="5130" max="5130" width="13.875" style="461" customWidth="1"/>
    <col min="5131" max="5131" width="15.125" style="461" customWidth="1"/>
    <col min="5132" max="5132" width="15" style="461" customWidth="1"/>
    <col min="5133" max="5133" width="13.125" style="461" customWidth="1"/>
    <col min="5134" max="5134" width="12.75" style="461" customWidth="1"/>
    <col min="5135" max="5376" width="9" style="461"/>
    <col min="5377" max="5377" width="2.5" style="461" customWidth="1"/>
    <col min="5378" max="5378" width="30.5" style="461" customWidth="1"/>
    <col min="5379" max="5380" width="0" style="461" hidden="1" customWidth="1"/>
    <col min="5381" max="5382" width="15.875" style="461" customWidth="1"/>
    <col min="5383" max="5383" width="20.75" style="461" customWidth="1"/>
    <col min="5384" max="5384" width="14.75" style="461" customWidth="1"/>
    <col min="5385" max="5385" width="15.125" style="461" customWidth="1"/>
    <col min="5386" max="5386" width="13.875" style="461" customWidth="1"/>
    <col min="5387" max="5387" width="15.125" style="461" customWidth="1"/>
    <col min="5388" max="5388" width="15" style="461" customWidth="1"/>
    <col min="5389" max="5389" width="13.125" style="461" customWidth="1"/>
    <col min="5390" max="5390" width="12.75" style="461" customWidth="1"/>
    <col min="5391" max="5632" width="9" style="461"/>
    <col min="5633" max="5633" width="2.5" style="461" customWidth="1"/>
    <col min="5634" max="5634" width="30.5" style="461" customWidth="1"/>
    <col min="5635" max="5636" width="0" style="461" hidden="1" customWidth="1"/>
    <col min="5637" max="5638" width="15.875" style="461" customWidth="1"/>
    <col min="5639" max="5639" width="20.75" style="461" customWidth="1"/>
    <col min="5640" max="5640" width="14.75" style="461" customWidth="1"/>
    <col min="5641" max="5641" width="15.125" style="461" customWidth="1"/>
    <col min="5642" max="5642" width="13.875" style="461" customWidth="1"/>
    <col min="5643" max="5643" width="15.125" style="461" customWidth="1"/>
    <col min="5644" max="5644" width="15" style="461" customWidth="1"/>
    <col min="5645" max="5645" width="13.125" style="461" customWidth="1"/>
    <col min="5646" max="5646" width="12.75" style="461" customWidth="1"/>
    <col min="5647" max="5888" width="9" style="461"/>
    <col min="5889" max="5889" width="2.5" style="461" customWidth="1"/>
    <col min="5890" max="5890" width="30.5" style="461" customWidth="1"/>
    <col min="5891" max="5892" width="0" style="461" hidden="1" customWidth="1"/>
    <col min="5893" max="5894" width="15.875" style="461" customWidth="1"/>
    <col min="5895" max="5895" width="20.75" style="461" customWidth="1"/>
    <col min="5896" max="5896" width="14.75" style="461" customWidth="1"/>
    <col min="5897" max="5897" width="15.125" style="461" customWidth="1"/>
    <col min="5898" max="5898" width="13.875" style="461" customWidth="1"/>
    <col min="5899" max="5899" width="15.125" style="461" customWidth="1"/>
    <col min="5900" max="5900" width="15" style="461" customWidth="1"/>
    <col min="5901" max="5901" width="13.125" style="461" customWidth="1"/>
    <col min="5902" max="5902" width="12.75" style="461" customWidth="1"/>
    <col min="5903" max="6144" width="9" style="461"/>
    <col min="6145" max="6145" width="2.5" style="461" customWidth="1"/>
    <col min="6146" max="6146" width="30.5" style="461" customWidth="1"/>
    <col min="6147" max="6148" width="0" style="461" hidden="1" customWidth="1"/>
    <col min="6149" max="6150" width="15.875" style="461" customWidth="1"/>
    <col min="6151" max="6151" width="20.75" style="461" customWidth="1"/>
    <col min="6152" max="6152" width="14.75" style="461" customWidth="1"/>
    <col min="6153" max="6153" width="15.125" style="461" customWidth="1"/>
    <col min="6154" max="6154" width="13.875" style="461" customWidth="1"/>
    <col min="6155" max="6155" width="15.125" style="461" customWidth="1"/>
    <col min="6156" max="6156" width="15" style="461" customWidth="1"/>
    <col min="6157" max="6157" width="13.125" style="461" customWidth="1"/>
    <col min="6158" max="6158" width="12.75" style="461" customWidth="1"/>
    <col min="6159" max="6400" width="9" style="461"/>
    <col min="6401" max="6401" width="2.5" style="461" customWidth="1"/>
    <col min="6402" max="6402" width="30.5" style="461" customWidth="1"/>
    <col min="6403" max="6404" width="0" style="461" hidden="1" customWidth="1"/>
    <col min="6405" max="6406" width="15.875" style="461" customWidth="1"/>
    <col min="6407" max="6407" width="20.75" style="461" customWidth="1"/>
    <col min="6408" max="6408" width="14.75" style="461" customWidth="1"/>
    <col min="6409" max="6409" width="15.125" style="461" customWidth="1"/>
    <col min="6410" max="6410" width="13.875" style="461" customWidth="1"/>
    <col min="6411" max="6411" width="15.125" style="461" customWidth="1"/>
    <col min="6412" max="6412" width="15" style="461" customWidth="1"/>
    <col min="6413" max="6413" width="13.125" style="461" customWidth="1"/>
    <col min="6414" max="6414" width="12.75" style="461" customWidth="1"/>
    <col min="6415" max="6656" width="9" style="461"/>
    <col min="6657" max="6657" width="2.5" style="461" customWidth="1"/>
    <col min="6658" max="6658" width="30.5" style="461" customWidth="1"/>
    <col min="6659" max="6660" width="0" style="461" hidden="1" customWidth="1"/>
    <col min="6661" max="6662" width="15.875" style="461" customWidth="1"/>
    <col min="6663" max="6663" width="20.75" style="461" customWidth="1"/>
    <col min="6664" max="6664" width="14.75" style="461" customWidth="1"/>
    <col min="6665" max="6665" width="15.125" style="461" customWidth="1"/>
    <col min="6666" max="6666" width="13.875" style="461" customWidth="1"/>
    <col min="6667" max="6667" width="15.125" style="461" customWidth="1"/>
    <col min="6668" max="6668" width="15" style="461" customWidth="1"/>
    <col min="6669" max="6669" width="13.125" style="461" customWidth="1"/>
    <col min="6670" max="6670" width="12.75" style="461" customWidth="1"/>
    <col min="6671" max="6912" width="9" style="461"/>
    <col min="6913" max="6913" width="2.5" style="461" customWidth="1"/>
    <col min="6914" max="6914" width="30.5" style="461" customWidth="1"/>
    <col min="6915" max="6916" width="0" style="461" hidden="1" customWidth="1"/>
    <col min="6917" max="6918" width="15.875" style="461" customWidth="1"/>
    <col min="6919" max="6919" width="20.75" style="461" customWidth="1"/>
    <col min="6920" max="6920" width="14.75" style="461" customWidth="1"/>
    <col min="6921" max="6921" width="15.125" style="461" customWidth="1"/>
    <col min="6922" max="6922" width="13.875" style="461" customWidth="1"/>
    <col min="6923" max="6923" width="15.125" style="461" customWidth="1"/>
    <col min="6924" max="6924" width="15" style="461" customWidth="1"/>
    <col min="6925" max="6925" width="13.125" style="461" customWidth="1"/>
    <col min="6926" max="6926" width="12.75" style="461" customWidth="1"/>
    <col min="6927" max="7168" width="9" style="461"/>
    <col min="7169" max="7169" width="2.5" style="461" customWidth="1"/>
    <col min="7170" max="7170" width="30.5" style="461" customWidth="1"/>
    <col min="7171" max="7172" width="0" style="461" hidden="1" customWidth="1"/>
    <col min="7173" max="7174" width="15.875" style="461" customWidth="1"/>
    <col min="7175" max="7175" width="20.75" style="461" customWidth="1"/>
    <col min="7176" max="7176" width="14.75" style="461" customWidth="1"/>
    <col min="7177" max="7177" width="15.125" style="461" customWidth="1"/>
    <col min="7178" max="7178" width="13.875" style="461" customWidth="1"/>
    <col min="7179" max="7179" width="15.125" style="461" customWidth="1"/>
    <col min="7180" max="7180" width="15" style="461" customWidth="1"/>
    <col min="7181" max="7181" width="13.125" style="461" customWidth="1"/>
    <col min="7182" max="7182" width="12.75" style="461" customWidth="1"/>
    <col min="7183" max="7424" width="9" style="461"/>
    <col min="7425" max="7425" width="2.5" style="461" customWidth="1"/>
    <col min="7426" max="7426" width="30.5" style="461" customWidth="1"/>
    <col min="7427" max="7428" width="0" style="461" hidden="1" customWidth="1"/>
    <col min="7429" max="7430" width="15.875" style="461" customWidth="1"/>
    <col min="7431" max="7431" width="20.75" style="461" customWidth="1"/>
    <col min="7432" max="7432" width="14.75" style="461" customWidth="1"/>
    <col min="7433" max="7433" width="15.125" style="461" customWidth="1"/>
    <col min="7434" max="7434" width="13.875" style="461" customWidth="1"/>
    <col min="7435" max="7435" width="15.125" style="461" customWidth="1"/>
    <col min="7436" max="7436" width="15" style="461" customWidth="1"/>
    <col min="7437" max="7437" width="13.125" style="461" customWidth="1"/>
    <col min="7438" max="7438" width="12.75" style="461" customWidth="1"/>
    <col min="7439" max="7680" width="9" style="461"/>
    <col min="7681" max="7681" width="2.5" style="461" customWidth="1"/>
    <col min="7682" max="7682" width="30.5" style="461" customWidth="1"/>
    <col min="7683" max="7684" width="0" style="461" hidden="1" customWidth="1"/>
    <col min="7685" max="7686" width="15.875" style="461" customWidth="1"/>
    <col min="7687" max="7687" width="20.75" style="461" customWidth="1"/>
    <col min="7688" max="7688" width="14.75" style="461" customWidth="1"/>
    <col min="7689" max="7689" width="15.125" style="461" customWidth="1"/>
    <col min="7690" max="7690" width="13.875" style="461" customWidth="1"/>
    <col min="7691" max="7691" width="15.125" style="461" customWidth="1"/>
    <col min="7692" max="7692" width="15" style="461" customWidth="1"/>
    <col min="7693" max="7693" width="13.125" style="461" customWidth="1"/>
    <col min="7694" max="7694" width="12.75" style="461" customWidth="1"/>
    <col min="7695" max="7936" width="9" style="461"/>
    <col min="7937" max="7937" width="2.5" style="461" customWidth="1"/>
    <col min="7938" max="7938" width="30.5" style="461" customWidth="1"/>
    <col min="7939" max="7940" width="0" style="461" hidden="1" customWidth="1"/>
    <col min="7941" max="7942" width="15.875" style="461" customWidth="1"/>
    <col min="7943" max="7943" width="20.75" style="461" customWidth="1"/>
    <col min="7944" max="7944" width="14.75" style="461" customWidth="1"/>
    <col min="7945" max="7945" width="15.125" style="461" customWidth="1"/>
    <col min="7946" max="7946" width="13.875" style="461" customWidth="1"/>
    <col min="7947" max="7947" width="15.125" style="461" customWidth="1"/>
    <col min="7948" max="7948" width="15" style="461" customWidth="1"/>
    <col min="7949" max="7949" width="13.125" style="461" customWidth="1"/>
    <col min="7950" max="7950" width="12.75" style="461" customWidth="1"/>
    <col min="7951" max="8192" width="9" style="461"/>
    <col min="8193" max="8193" width="2.5" style="461" customWidth="1"/>
    <col min="8194" max="8194" width="30.5" style="461" customWidth="1"/>
    <col min="8195" max="8196" width="0" style="461" hidden="1" customWidth="1"/>
    <col min="8197" max="8198" width="15.875" style="461" customWidth="1"/>
    <col min="8199" max="8199" width="20.75" style="461" customWidth="1"/>
    <col min="8200" max="8200" width="14.75" style="461" customWidth="1"/>
    <col min="8201" max="8201" width="15.125" style="461" customWidth="1"/>
    <col min="8202" max="8202" width="13.875" style="461" customWidth="1"/>
    <col min="8203" max="8203" width="15.125" style="461" customWidth="1"/>
    <col min="8204" max="8204" width="15" style="461" customWidth="1"/>
    <col min="8205" max="8205" width="13.125" style="461" customWidth="1"/>
    <col min="8206" max="8206" width="12.75" style="461" customWidth="1"/>
    <col min="8207" max="8448" width="9" style="461"/>
    <col min="8449" max="8449" width="2.5" style="461" customWidth="1"/>
    <col min="8450" max="8450" width="30.5" style="461" customWidth="1"/>
    <col min="8451" max="8452" width="0" style="461" hidden="1" customWidth="1"/>
    <col min="8453" max="8454" width="15.875" style="461" customWidth="1"/>
    <col min="8455" max="8455" width="20.75" style="461" customWidth="1"/>
    <col min="8456" max="8456" width="14.75" style="461" customWidth="1"/>
    <col min="8457" max="8457" width="15.125" style="461" customWidth="1"/>
    <col min="8458" max="8458" width="13.875" style="461" customWidth="1"/>
    <col min="8459" max="8459" width="15.125" style="461" customWidth="1"/>
    <col min="8460" max="8460" width="15" style="461" customWidth="1"/>
    <col min="8461" max="8461" width="13.125" style="461" customWidth="1"/>
    <col min="8462" max="8462" width="12.75" style="461" customWidth="1"/>
    <col min="8463" max="8704" width="9" style="461"/>
    <col min="8705" max="8705" width="2.5" style="461" customWidth="1"/>
    <col min="8706" max="8706" width="30.5" style="461" customWidth="1"/>
    <col min="8707" max="8708" width="0" style="461" hidden="1" customWidth="1"/>
    <col min="8709" max="8710" width="15.875" style="461" customWidth="1"/>
    <col min="8711" max="8711" width="20.75" style="461" customWidth="1"/>
    <col min="8712" max="8712" width="14.75" style="461" customWidth="1"/>
    <col min="8713" max="8713" width="15.125" style="461" customWidth="1"/>
    <col min="8714" max="8714" width="13.875" style="461" customWidth="1"/>
    <col min="8715" max="8715" width="15.125" style="461" customWidth="1"/>
    <col min="8716" max="8716" width="15" style="461" customWidth="1"/>
    <col min="8717" max="8717" width="13.125" style="461" customWidth="1"/>
    <col min="8718" max="8718" width="12.75" style="461" customWidth="1"/>
    <col min="8719" max="8960" width="9" style="461"/>
    <col min="8961" max="8961" width="2.5" style="461" customWidth="1"/>
    <col min="8962" max="8962" width="30.5" style="461" customWidth="1"/>
    <col min="8963" max="8964" width="0" style="461" hidden="1" customWidth="1"/>
    <col min="8965" max="8966" width="15.875" style="461" customWidth="1"/>
    <col min="8967" max="8967" width="20.75" style="461" customWidth="1"/>
    <col min="8968" max="8968" width="14.75" style="461" customWidth="1"/>
    <col min="8969" max="8969" width="15.125" style="461" customWidth="1"/>
    <col min="8970" max="8970" width="13.875" style="461" customWidth="1"/>
    <col min="8971" max="8971" width="15.125" style="461" customWidth="1"/>
    <col min="8972" max="8972" width="15" style="461" customWidth="1"/>
    <col min="8973" max="8973" width="13.125" style="461" customWidth="1"/>
    <col min="8974" max="8974" width="12.75" style="461" customWidth="1"/>
    <col min="8975" max="9216" width="9" style="461"/>
    <col min="9217" max="9217" width="2.5" style="461" customWidth="1"/>
    <col min="9218" max="9218" width="30.5" style="461" customWidth="1"/>
    <col min="9219" max="9220" width="0" style="461" hidden="1" customWidth="1"/>
    <col min="9221" max="9222" width="15.875" style="461" customWidth="1"/>
    <col min="9223" max="9223" width="20.75" style="461" customWidth="1"/>
    <col min="9224" max="9224" width="14.75" style="461" customWidth="1"/>
    <col min="9225" max="9225" width="15.125" style="461" customWidth="1"/>
    <col min="9226" max="9226" width="13.875" style="461" customWidth="1"/>
    <col min="9227" max="9227" width="15.125" style="461" customWidth="1"/>
    <col min="9228" max="9228" width="15" style="461" customWidth="1"/>
    <col min="9229" max="9229" width="13.125" style="461" customWidth="1"/>
    <col min="9230" max="9230" width="12.75" style="461" customWidth="1"/>
    <col min="9231" max="9472" width="9" style="461"/>
    <col min="9473" max="9473" width="2.5" style="461" customWidth="1"/>
    <col min="9474" max="9474" width="30.5" style="461" customWidth="1"/>
    <col min="9475" max="9476" width="0" style="461" hidden="1" customWidth="1"/>
    <col min="9477" max="9478" width="15.875" style="461" customWidth="1"/>
    <col min="9479" max="9479" width="20.75" style="461" customWidth="1"/>
    <col min="9480" max="9480" width="14.75" style="461" customWidth="1"/>
    <col min="9481" max="9481" width="15.125" style="461" customWidth="1"/>
    <col min="9482" max="9482" width="13.875" style="461" customWidth="1"/>
    <col min="9483" max="9483" width="15.125" style="461" customWidth="1"/>
    <col min="9484" max="9484" width="15" style="461" customWidth="1"/>
    <col min="9485" max="9485" width="13.125" style="461" customWidth="1"/>
    <col min="9486" max="9486" width="12.75" style="461" customWidth="1"/>
    <col min="9487" max="9728" width="9" style="461"/>
    <col min="9729" max="9729" width="2.5" style="461" customWidth="1"/>
    <col min="9730" max="9730" width="30.5" style="461" customWidth="1"/>
    <col min="9731" max="9732" width="0" style="461" hidden="1" customWidth="1"/>
    <col min="9733" max="9734" width="15.875" style="461" customWidth="1"/>
    <col min="9735" max="9735" width="20.75" style="461" customWidth="1"/>
    <col min="9736" max="9736" width="14.75" style="461" customWidth="1"/>
    <col min="9737" max="9737" width="15.125" style="461" customWidth="1"/>
    <col min="9738" max="9738" width="13.875" style="461" customWidth="1"/>
    <col min="9739" max="9739" width="15.125" style="461" customWidth="1"/>
    <col min="9740" max="9740" width="15" style="461" customWidth="1"/>
    <col min="9741" max="9741" width="13.125" style="461" customWidth="1"/>
    <col min="9742" max="9742" width="12.75" style="461" customWidth="1"/>
    <col min="9743" max="9984" width="9" style="461"/>
    <col min="9985" max="9985" width="2.5" style="461" customWidth="1"/>
    <col min="9986" max="9986" width="30.5" style="461" customWidth="1"/>
    <col min="9987" max="9988" width="0" style="461" hidden="1" customWidth="1"/>
    <col min="9989" max="9990" width="15.875" style="461" customWidth="1"/>
    <col min="9991" max="9991" width="20.75" style="461" customWidth="1"/>
    <col min="9992" max="9992" width="14.75" style="461" customWidth="1"/>
    <col min="9993" max="9993" width="15.125" style="461" customWidth="1"/>
    <col min="9994" max="9994" width="13.875" style="461" customWidth="1"/>
    <col min="9995" max="9995" width="15.125" style="461" customWidth="1"/>
    <col min="9996" max="9996" width="15" style="461" customWidth="1"/>
    <col min="9997" max="9997" width="13.125" style="461" customWidth="1"/>
    <col min="9998" max="9998" width="12.75" style="461" customWidth="1"/>
    <col min="9999" max="10240" width="9" style="461"/>
    <col min="10241" max="10241" width="2.5" style="461" customWidth="1"/>
    <col min="10242" max="10242" width="30.5" style="461" customWidth="1"/>
    <col min="10243" max="10244" width="0" style="461" hidden="1" customWidth="1"/>
    <col min="10245" max="10246" width="15.875" style="461" customWidth="1"/>
    <col min="10247" max="10247" width="20.75" style="461" customWidth="1"/>
    <col min="10248" max="10248" width="14.75" style="461" customWidth="1"/>
    <col min="10249" max="10249" width="15.125" style="461" customWidth="1"/>
    <col min="10250" max="10250" width="13.875" style="461" customWidth="1"/>
    <col min="10251" max="10251" width="15.125" style="461" customWidth="1"/>
    <col min="10252" max="10252" width="15" style="461" customWidth="1"/>
    <col min="10253" max="10253" width="13.125" style="461" customWidth="1"/>
    <col min="10254" max="10254" width="12.75" style="461" customWidth="1"/>
    <col min="10255" max="10496" width="9" style="461"/>
    <col min="10497" max="10497" width="2.5" style="461" customWidth="1"/>
    <col min="10498" max="10498" width="30.5" style="461" customWidth="1"/>
    <col min="10499" max="10500" width="0" style="461" hidden="1" customWidth="1"/>
    <col min="10501" max="10502" width="15.875" style="461" customWidth="1"/>
    <col min="10503" max="10503" width="20.75" style="461" customWidth="1"/>
    <col min="10504" max="10504" width="14.75" style="461" customWidth="1"/>
    <col min="10505" max="10505" width="15.125" style="461" customWidth="1"/>
    <col min="10506" max="10506" width="13.875" style="461" customWidth="1"/>
    <col min="10507" max="10507" width="15.125" style="461" customWidth="1"/>
    <col min="10508" max="10508" width="15" style="461" customWidth="1"/>
    <col min="10509" max="10509" width="13.125" style="461" customWidth="1"/>
    <col min="10510" max="10510" width="12.75" style="461" customWidth="1"/>
    <col min="10511" max="10752" width="9" style="461"/>
    <col min="10753" max="10753" width="2.5" style="461" customWidth="1"/>
    <col min="10754" max="10754" width="30.5" style="461" customWidth="1"/>
    <col min="10755" max="10756" width="0" style="461" hidden="1" customWidth="1"/>
    <col min="10757" max="10758" width="15.875" style="461" customWidth="1"/>
    <col min="10759" max="10759" width="20.75" style="461" customWidth="1"/>
    <col min="10760" max="10760" width="14.75" style="461" customWidth="1"/>
    <col min="10761" max="10761" width="15.125" style="461" customWidth="1"/>
    <col min="10762" max="10762" width="13.875" style="461" customWidth="1"/>
    <col min="10763" max="10763" width="15.125" style="461" customWidth="1"/>
    <col min="10764" max="10764" width="15" style="461" customWidth="1"/>
    <col min="10765" max="10765" width="13.125" style="461" customWidth="1"/>
    <col min="10766" max="10766" width="12.75" style="461" customWidth="1"/>
    <col min="10767" max="11008" width="9" style="461"/>
    <col min="11009" max="11009" width="2.5" style="461" customWidth="1"/>
    <col min="11010" max="11010" width="30.5" style="461" customWidth="1"/>
    <col min="11011" max="11012" width="0" style="461" hidden="1" customWidth="1"/>
    <col min="11013" max="11014" width="15.875" style="461" customWidth="1"/>
    <col min="11015" max="11015" width="20.75" style="461" customWidth="1"/>
    <col min="11016" max="11016" width="14.75" style="461" customWidth="1"/>
    <col min="11017" max="11017" width="15.125" style="461" customWidth="1"/>
    <col min="11018" max="11018" width="13.875" style="461" customWidth="1"/>
    <col min="11019" max="11019" width="15.125" style="461" customWidth="1"/>
    <col min="11020" max="11020" width="15" style="461" customWidth="1"/>
    <col min="11021" max="11021" width="13.125" style="461" customWidth="1"/>
    <col min="11022" max="11022" width="12.75" style="461" customWidth="1"/>
    <col min="11023" max="11264" width="9" style="461"/>
    <col min="11265" max="11265" width="2.5" style="461" customWidth="1"/>
    <col min="11266" max="11266" width="30.5" style="461" customWidth="1"/>
    <col min="11267" max="11268" width="0" style="461" hidden="1" customWidth="1"/>
    <col min="11269" max="11270" width="15.875" style="461" customWidth="1"/>
    <col min="11271" max="11271" width="20.75" style="461" customWidth="1"/>
    <col min="11272" max="11272" width="14.75" style="461" customWidth="1"/>
    <col min="11273" max="11273" width="15.125" style="461" customWidth="1"/>
    <col min="11274" max="11274" width="13.875" style="461" customWidth="1"/>
    <col min="11275" max="11275" width="15.125" style="461" customWidth="1"/>
    <col min="11276" max="11276" width="15" style="461" customWidth="1"/>
    <col min="11277" max="11277" width="13.125" style="461" customWidth="1"/>
    <col min="11278" max="11278" width="12.75" style="461" customWidth="1"/>
    <col min="11279" max="11520" width="9" style="461"/>
    <col min="11521" max="11521" width="2.5" style="461" customWidth="1"/>
    <col min="11522" max="11522" width="30.5" style="461" customWidth="1"/>
    <col min="11523" max="11524" width="0" style="461" hidden="1" customWidth="1"/>
    <col min="11525" max="11526" width="15.875" style="461" customWidth="1"/>
    <col min="11527" max="11527" width="20.75" style="461" customWidth="1"/>
    <col min="11528" max="11528" width="14.75" style="461" customWidth="1"/>
    <col min="11529" max="11529" width="15.125" style="461" customWidth="1"/>
    <col min="11530" max="11530" width="13.875" style="461" customWidth="1"/>
    <col min="11531" max="11531" width="15.125" style="461" customWidth="1"/>
    <col min="11532" max="11532" width="15" style="461" customWidth="1"/>
    <col min="11533" max="11533" width="13.125" style="461" customWidth="1"/>
    <col min="11534" max="11534" width="12.75" style="461" customWidth="1"/>
    <col min="11535" max="11776" width="9" style="461"/>
    <col min="11777" max="11777" width="2.5" style="461" customWidth="1"/>
    <col min="11778" max="11778" width="30.5" style="461" customWidth="1"/>
    <col min="11779" max="11780" width="0" style="461" hidden="1" customWidth="1"/>
    <col min="11781" max="11782" width="15.875" style="461" customWidth="1"/>
    <col min="11783" max="11783" width="20.75" style="461" customWidth="1"/>
    <col min="11784" max="11784" width="14.75" style="461" customWidth="1"/>
    <col min="11785" max="11785" width="15.125" style="461" customWidth="1"/>
    <col min="11786" max="11786" width="13.875" style="461" customWidth="1"/>
    <col min="11787" max="11787" width="15.125" style="461" customWidth="1"/>
    <col min="11788" max="11788" width="15" style="461" customWidth="1"/>
    <col min="11789" max="11789" width="13.125" style="461" customWidth="1"/>
    <col min="11790" max="11790" width="12.75" style="461" customWidth="1"/>
    <col min="11791" max="12032" width="9" style="461"/>
    <col min="12033" max="12033" width="2.5" style="461" customWidth="1"/>
    <col min="12034" max="12034" width="30.5" style="461" customWidth="1"/>
    <col min="12035" max="12036" width="0" style="461" hidden="1" customWidth="1"/>
    <col min="12037" max="12038" width="15.875" style="461" customWidth="1"/>
    <col min="12039" max="12039" width="20.75" style="461" customWidth="1"/>
    <col min="12040" max="12040" width="14.75" style="461" customWidth="1"/>
    <col min="12041" max="12041" width="15.125" style="461" customWidth="1"/>
    <col min="12042" max="12042" width="13.875" style="461" customWidth="1"/>
    <col min="12043" max="12043" width="15.125" style="461" customWidth="1"/>
    <col min="12044" max="12044" width="15" style="461" customWidth="1"/>
    <col min="12045" max="12045" width="13.125" style="461" customWidth="1"/>
    <col min="12046" max="12046" width="12.75" style="461" customWidth="1"/>
    <col min="12047" max="12288" width="9" style="461"/>
    <col min="12289" max="12289" width="2.5" style="461" customWidth="1"/>
    <col min="12290" max="12290" width="30.5" style="461" customWidth="1"/>
    <col min="12291" max="12292" width="0" style="461" hidden="1" customWidth="1"/>
    <col min="12293" max="12294" width="15.875" style="461" customWidth="1"/>
    <col min="12295" max="12295" width="20.75" style="461" customWidth="1"/>
    <col min="12296" max="12296" width="14.75" style="461" customWidth="1"/>
    <col min="12297" max="12297" width="15.125" style="461" customWidth="1"/>
    <col min="12298" max="12298" width="13.875" style="461" customWidth="1"/>
    <col min="12299" max="12299" width="15.125" style="461" customWidth="1"/>
    <col min="12300" max="12300" width="15" style="461" customWidth="1"/>
    <col min="12301" max="12301" width="13.125" style="461" customWidth="1"/>
    <col min="12302" max="12302" width="12.75" style="461" customWidth="1"/>
    <col min="12303" max="12544" width="9" style="461"/>
    <col min="12545" max="12545" width="2.5" style="461" customWidth="1"/>
    <col min="12546" max="12546" width="30.5" style="461" customWidth="1"/>
    <col min="12547" max="12548" width="0" style="461" hidden="1" customWidth="1"/>
    <col min="12549" max="12550" width="15.875" style="461" customWidth="1"/>
    <col min="12551" max="12551" width="20.75" style="461" customWidth="1"/>
    <col min="12552" max="12552" width="14.75" style="461" customWidth="1"/>
    <col min="12553" max="12553" width="15.125" style="461" customWidth="1"/>
    <col min="12554" max="12554" width="13.875" style="461" customWidth="1"/>
    <col min="12555" max="12555" width="15.125" style="461" customWidth="1"/>
    <col min="12556" max="12556" width="15" style="461" customWidth="1"/>
    <col min="12557" max="12557" width="13.125" style="461" customWidth="1"/>
    <col min="12558" max="12558" width="12.75" style="461" customWidth="1"/>
    <col min="12559" max="12800" width="9" style="461"/>
    <col min="12801" max="12801" width="2.5" style="461" customWidth="1"/>
    <col min="12802" max="12802" width="30.5" style="461" customWidth="1"/>
    <col min="12803" max="12804" width="0" style="461" hidden="1" customWidth="1"/>
    <col min="12805" max="12806" width="15.875" style="461" customWidth="1"/>
    <col min="12807" max="12807" width="20.75" style="461" customWidth="1"/>
    <col min="12808" max="12808" width="14.75" style="461" customWidth="1"/>
    <col min="12809" max="12809" width="15.125" style="461" customWidth="1"/>
    <col min="12810" max="12810" width="13.875" style="461" customWidth="1"/>
    <col min="12811" max="12811" width="15.125" style="461" customWidth="1"/>
    <col min="12812" max="12812" width="15" style="461" customWidth="1"/>
    <col min="12813" max="12813" width="13.125" style="461" customWidth="1"/>
    <col min="12814" max="12814" width="12.75" style="461" customWidth="1"/>
    <col min="12815" max="13056" width="9" style="461"/>
    <col min="13057" max="13057" width="2.5" style="461" customWidth="1"/>
    <col min="13058" max="13058" width="30.5" style="461" customWidth="1"/>
    <col min="13059" max="13060" width="0" style="461" hidden="1" customWidth="1"/>
    <col min="13061" max="13062" width="15.875" style="461" customWidth="1"/>
    <col min="13063" max="13063" width="20.75" style="461" customWidth="1"/>
    <col min="13064" max="13064" width="14.75" style="461" customWidth="1"/>
    <col min="13065" max="13065" width="15.125" style="461" customWidth="1"/>
    <col min="13066" max="13066" width="13.875" style="461" customWidth="1"/>
    <col min="13067" max="13067" width="15.125" style="461" customWidth="1"/>
    <col min="13068" max="13068" width="15" style="461" customWidth="1"/>
    <col min="13069" max="13069" width="13.125" style="461" customWidth="1"/>
    <col min="13070" max="13070" width="12.75" style="461" customWidth="1"/>
    <col min="13071" max="13312" width="9" style="461"/>
    <col min="13313" max="13313" width="2.5" style="461" customWidth="1"/>
    <col min="13314" max="13314" width="30.5" style="461" customWidth="1"/>
    <col min="13315" max="13316" width="0" style="461" hidden="1" customWidth="1"/>
    <col min="13317" max="13318" width="15.875" style="461" customWidth="1"/>
    <col min="13319" max="13319" width="20.75" style="461" customWidth="1"/>
    <col min="13320" max="13320" width="14.75" style="461" customWidth="1"/>
    <col min="13321" max="13321" width="15.125" style="461" customWidth="1"/>
    <col min="13322" max="13322" width="13.875" style="461" customWidth="1"/>
    <col min="13323" max="13323" width="15.125" style="461" customWidth="1"/>
    <col min="13324" max="13324" width="15" style="461" customWidth="1"/>
    <col min="13325" max="13325" width="13.125" style="461" customWidth="1"/>
    <col min="13326" max="13326" width="12.75" style="461" customWidth="1"/>
    <col min="13327" max="13568" width="9" style="461"/>
    <col min="13569" max="13569" width="2.5" style="461" customWidth="1"/>
    <col min="13570" max="13570" width="30.5" style="461" customWidth="1"/>
    <col min="13571" max="13572" width="0" style="461" hidden="1" customWidth="1"/>
    <col min="13573" max="13574" width="15.875" style="461" customWidth="1"/>
    <col min="13575" max="13575" width="20.75" style="461" customWidth="1"/>
    <col min="13576" max="13576" width="14.75" style="461" customWidth="1"/>
    <col min="13577" max="13577" width="15.125" style="461" customWidth="1"/>
    <col min="13578" max="13578" width="13.875" style="461" customWidth="1"/>
    <col min="13579" max="13579" width="15.125" style="461" customWidth="1"/>
    <col min="13580" max="13580" width="15" style="461" customWidth="1"/>
    <col min="13581" max="13581" width="13.125" style="461" customWidth="1"/>
    <col min="13582" max="13582" width="12.75" style="461" customWidth="1"/>
    <col min="13583" max="13824" width="9" style="461"/>
    <col min="13825" max="13825" width="2.5" style="461" customWidth="1"/>
    <col min="13826" max="13826" width="30.5" style="461" customWidth="1"/>
    <col min="13827" max="13828" width="0" style="461" hidden="1" customWidth="1"/>
    <col min="13829" max="13830" width="15.875" style="461" customWidth="1"/>
    <col min="13831" max="13831" width="20.75" style="461" customWidth="1"/>
    <col min="13832" max="13832" width="14.75" style="461" customWidth="1"/>
    <col min="13833" max="13833" width="15.125" style="461" customWidth="1"/>
    <col min="13834" max="13834" width="13.875" style="461" customWidth="1"/>
    <col min="13835" max="13835" width="15.125" style="461" customWidth="1"/>
    <col min="13836" max="13836" width="15" style="461" customWidth="1"/>
    <col min="13837" max="13837" width="13.125" style="461" customWidth="1"/>
    <col min="13838" max="13838" width="12.75" style="461" customWidth="1"/>
    <col min="13839" max="14080" width="9" style="461"/>
    <col min="14081" max="14081" width="2.5" style="461" customWidth="1"/>
    <col min="14082" max="14082" width="30.5" style="461" customWidth="1"/>
    <col min="14083" max="14084" width="0" style="461" hidden="1" customWidth="1"/>
    <col min="14085" max="14086" width="15.875" style="461" customWidth="1"/>
    <col min="14087" max="14087" width="20.75" style="461" customWidth="1"/>
    <col min="14088" max="14088" width="14.75" style="461" customWidth="1"/>
    <col min="14089" max="14089" width="15.125" style="461" customWidth="1"/>
    <col min="14090" max="14090" width="13.875" style="461" customWidth="1"/>
    <col min="14091" max="14091" width="15.125" style="461" customWidth="1"/>
    <col min="14092" max="14092" width="15" style="461" customWidth="1"/>
    <col min="14093" max="14093" width="13.125" style="461" customWidth="1"/>
    <col min="14094" max="14094" width="12.75" style="461" customWidth="1"/>
    <col min="14095" max="14336" width="9" style="461"/>
    <col min="14337" max="14337" width="2.5" style="461" customWidth="1"/>
    <col min="14338" max="14338" width="30.5" style="461" customWidth="1"/>
    <col min="14339" max="14340" width="0" style="461" hidden="1" customWidth="1"/>
    <col min="14341" max="14342" width="15.875" style="461" customWidth="1"/>
    <col min="14343" max="14343" width="20.75" style="461" customWidth="1"/>
    <col min="14344" max="14344" width="14.75" style="461" customWidth="1"/>
    <col min="14345" max="14345" width="15.125" style="461" customWidth="1"/>
    <col min="14346" max="14346" width="13.875" style="461" customWidth="1"/>
    <col min="14347" max="14347" width="15.125" style="461" customWidth="1"/>
    <col min="14348" max="14348" width="15" style="461" customWidth="1"/>
    <col min="14349" max="14349" width="13.125" style="461" customWidth="1"/>
    <col min="14350" max="14350" width="12.75" style="461" customWidth="1"/>
    <col min="14351" max="14592" width="9" style="461"/>
    <col min="14593" max="14593" width="2.5" style="461" customWidth="1"/>
    <col min="14594" max="14594" width="30.5" style="461" customWidth="1"/>
    <col min="14595" max="14596" width="0" style="461" hidden="1" customWidth="1"/>
    <col min="14597" max="14598" width="15.875" style="461" customWidth="1"/>
    <col min="14599" max="14599" width="20.75" style="461" customWidth="1"/>
    <col min="14600" max="14600" width="14.75" style="461" customWidth="1"/>
    <col min="14601" max="14601" width="15.125" style="461" customWidth="1"/>
    <col min="14602" max="14602" width="13.875" style="461" customWidth="1"/>
    <col min="14603" max="14603" width="15.125" style="461" customWidth="1"/>
    <col min="14604" max="14604" width="15" style="461" customWidth="1"/>
    <col min="14605" max="14605" width="13.125" style="461" customWidth="1"/>
    <col min="14606" max="14606" width="12.75" style="461" customWidth="1"/>
    <col min="14607" max="14848" width="9" style="461"/>
    <col min="14849" max="14849" width="2.5" style="461" customWidth="1"/>
    <col min="14850" max="14850" width="30.5" style="461" customWidth="1"/>
    <col min="14851" max="14852" width="0" style="461" hidden="1" customWidth="1"/>
    <col min="14853" max="14854" width="15.875" style="461" customWidth="1"/>
    <col min="14855" max="14855" width="20.75" style="461" customWidth="1"/>
    <col min="14856" max="14856" width="14.75" style="461" customWidth="1"/>
    <col min="14857" max="14857" width="15.125" style="461" customWidth="1"/>
    <col min="14858" max="14858" width="13.875" style="461" customWidth="1"/>
    <col min="14859" max="14859" width="15.125" style="461" customWidth="1"/>
    <col min="14860" max="14860" width="15" style="461" customWidth="1"/>
    <col min="14861" max="14861" width="13.125" style="461" customWidth="1"/>
    <col min="14862" max="14862" width="12.75" style="461" customWidth="1"/>
    <col min="14863" max="15104" width="9" style="461"/>
    <col min="15105" max="15105" width="2.5" style="461" customWidth="1"/>
    <col min="15106" max="15106" width="30.5" style="461" customWidth="1"/>
    <col min="15107" max="15108" width="0" style="461" hidden="1" customWidth="1"/>
    <col min="15109" max="15110" width="15.875" style="461" customWidth="1"/>
    <col min="15111" max="15111" width="20.75" style="461" customWidth="1"/>
    <col min="15112" max="15112" width="14.75" style="461" customWidth="1"/>
    <col min="15113" max="15113" width="15.125" style="461" customWidth="1"/>
    <col min="15114" max="15114" width="13.875" style="461" customWidth="1"/>
    <col min="15115" max="15115" width="15.125" style="461" customWidth="1"/>
    <col min="15116" max="15116" width="15" style="461" customWidth="1"/>
    <col min="15117" max="15117" width="13.125" style="461" customWidth="1"/>
    <col min="15118" max="15118" width="12.75" style="461" customWidth="1"/>
    <col min="15119" max="15360" width="9" style="461"/>
    <col min="15361" max="15361" width="2.5" style="461" customWidth="1"/>
    <col min="15362" max="15362" width="30.5" style="461" customWidth="1"/>
    <col min="15363" max="15364" width="0" style="461" hidden="1" customWidth="1"/>
    <col min="15365" max="15366" width="15.875" style="461" customWidth="1"/>
    <col min="15367" max="15367" width="20.75" style="461" customWidth="1"/>
    <col min="15368" max="15368" width="14.75" style="461" customWidth="1"/>
    <col min="15369" max="15369" width="15.125" style="461" customWidth="1"/>
    <col min="15370" max="15370" width="13.875" style="461" customWidth="1"/>
    <col min="15371" max="15371" width="15.125" style="461" customWidth="1"/>
    <col min="15372" max="15372" width="15" style="461" customWidth="1"/>
    <col min="15373" max="15373" width="13.125" style="461" customWidth="1"/>
    <col min="15374" max="15374" width="12.75" style="461" customWidth="1"/>
    <col min="15375" max="15616" width="9" style="461"/>
    <col min="15617" max="15617" width="2.5" style="461" customWidth="1"/>
    <col min="15618" max="15618" width="30.5" style="461" customWidth="1"/>
    <col min="15619" max="15620" width="0" style="461" hidden="1" customWidth="1"/>
    <col min="15621" max="15622" width="15.875" style="461" customWidth="1"/>
    <col min="15623" max="15623" width="20.75" style="461" customWidth="1"/>
    <col min="15624" max="15624" width="14.75" style="461" customWidth="1"/>
    <col min="15625" max="15625" width="15.125" style="461" customWidth="1"/>
    <col min="15626" max="15626" width="13.875" style="461" customWidth="1"/>
    <col min="15627" max="15627" width="15.125" style="461" customWidth="1"/>
    <col min="15628" max="15628" width="15" style="461" customWidth="1"/>
    <col min="15629" max="15629" width="13.125" style="461" customWidth="1"/>
    <col min="15630" max="15630" width="12.75" style="461" customWidth="1"/>
    <col min="15631" max="15872" width="9" style="461"/>
    <col min="15873" max="15873" width="2.5" style="461" customWidth="1"/>
    <col min="15874" max="15874" width="30.5" style="461" customWidth="1"/>
    <col min="15875" max="15876" width="0" style="461" hidden="1" customWidth="1"/>
    <col min="15877" max="15878" width="15.875" style="461" customWidth="1"/>
    <col min="15879" max="15879" width="20.75" style="461" customWidth="1"/>
    <col min="15880" max="15880" width="14.75" style="461" customWidth="1"/>
    <col min="15881" max="15881" width="15.125" style="461" customWidth="1"/>
    <col min="15882" max="15882" width="13.875" style="461" customWidth="1"/>
    <col min="15883" max="15883" width="15.125" style="461" customWidth="1"/>
    <col min="15884" max="15884" width="15" style="461" customWidth="1"/>
    <col min="15885" max="15885" width="13.125" style="461" customWidth="1"/>
    <col min="15886" max="15886" width="12.75" style="461" customWidth="1"/>
    <col min="15887" max="16128" width="9" style="461"/>
    <col min="16129" max="16129" width="2.5" style="461" customWidth="1"/>
    <col min="16130" max="16130" width="30.5" style="461" customWidth="1"/>
    <col min="16131" max="16132" width="0" style="461" hidden="1" customWidth="1"/>
    <col min="16133" max="16134" width="15.875" style="461" customWidth="1"/>
    <col min="16135" max="16135" width="20.75" style="461" customWidth="1"/>
    <col min="16136" max="16136" width="14.75" style="461" customWidth="1"/>
    <col min="16137" max="16137" width="15.125" style="461" customWidth="1"/>
    <col min="16138" max="16138" width="13.875" style="461" customWidth="1"/>
    <col min="16139" max="16139" width="15.125" style="461" customWidth="1"/>
    <col min="16140" max="16140" width="15" style="461" customWidth="1"/>
    <col min="16141" max="16141" width="13.125" style="461" customWidth="1"/>
    <col min="16142" max="16142" width="12.75" style="461" customWidth="1"/>
    <col min="16143" max="16384" width="9" style="461"/>
  </cols>
  <sheetData>
    <row r="1" spans="1:13" s="381" customFormat="1">
      <c r="A1" s="375" t="s">
        <v>189</v>
      </c>
      <c r="B1" s="376"/>
      <c r="C1" s="376"/>
      <c r="D1" s="376"/>
      <c r="E1" s="377"/>
      <c r="F1" s="377"/>
      <c r="G1" s="377"/>
      <c r="H1" s="377"/>
      <c r="I1" s="377"/>
      <c r="J1" s="378"/>
      <c r="K1" s="377"/>
      <c r="L1" s="379"/>
      <c r="M1" s="380"/>
    </row>
    <row r="2" spans="1:13" s="381" customFormat="1">
      <c r="A2" s="375" t="s">
        <v>461</v>
      </c>
      <c r="B2" s="376"/>
      <c r="C2" s="376"/>
      <c r="D2" s="376"/>
      <c r="E2" s="377"/>
      <c r="F2" s="377"/>
      <c r="G2" s="377"/>
      <c r="H2" s="377"/>
      <c r="I2" s="377"/>
      <c r="J2" s="378"/>
      <c r="K2" s="377"/>
      <c r="L2" s="379"/>
      <c r="M2" s="380"/>
    </row>
    <row r="3" spans="1:13" s="381" customFormat="1">
      <c r="A3" s="375" t="str">
        <f>+[27]สรุป!A3</f>
        <v>ณ วันที่ 31 ธันวาคม 2565</v>
      </c>
      <c r="B3" s="376"/>
      <c r="C3" s="376"/>
      <c r="D3" s="376"/>
      <c r="E3" s="377"/>
      <c r="F3" s="377"/>
      <c r="G3" s="377"/>
      <c r="H3" s="377"/>
      <c r="I3" s="377"/>
      <c r="J3" s="378"/>
      <c r="K3" s="377"/>
      <c r="L3" s="379"/>
      <c r="M3" s="380"/>
    </row>
    <row r="4" spans="1:13" s="387" customFormat="1">
      <c r="A4" s="382"/>
      <c r="B4" s="382"/>
      <c r="C4" s="382"/>
      <c r="D4" s="382"/>
      <c r="E4" s="383"/>
      <c r="F4" s="383"/>
      <c r="G4" s="383"/>
      <c r="H4" s="383"/>
      <c r="I4" s="383"/>
      <c r="J4" s="384"/>
      <c r="K4" s="385"/>
      <c r="L4" s="386"/>
      <c r="M4" s="383"/>
    </row>
    <row r="5" spans="1:13" s="387" customFormat="1">
      <c r="A5" s="1112" t="s">
        <v>462</v>
      </c>
      <c r="B5" s="1112"/>
      <c r="C5" s="1112" t="s">
        <v>463</v>
      </c>
      <c r="D5" s="1112" t="s">
        <v>464</v>
      </c>
      <c r="E5" s="1103" t="s">
        <v>465</v>
      </c>
      <c r="F5" s="1104"/>
      <c r="G5" s="388" t="s">
        <v>466</v>
      </c>
      <c r="H5" s="389"/>
      <c r="I5" s="390"/>
      <c r="J5" s="390"/>
      <c r="K5" s="391"/>
      <c r="L5" s="1105" t="s">
        <v>467</v>
      </c>
      <c r="M5" s="383"/>
    </row>
    <row r="6" spans="1:13" s="396" customFormat="1" ht="35.25" hidden="1" customHeight="1">
      <c r="A6" s="1112"/>
      <c r="B6" s="1112"/>
      <c r="C6" s="1112"/>
      <c r="D6" s="1112"/>
      <c r="E6" s="392"/>
      <c r="F6" s="393"/>
      <c r="G6" s="393"/>
      <c r="H6" s="393"/>
      <c r="I6" s="394"/>
      <c r="J6" s="394"/>
      <c r="K6" s="394"/>
      <c r="L6" s="1105"/>
      <c r="M6" s="395"/>
    </row>
    <row r="7" spans="1:13" s="399" customFormat="1" ht="90" customHeight="1">
      <c r="A7" s="1112"/>
      <c r="B7" s="1112"/>
      <c r="C7" s="1112"/>
      <c r="D7" s="1112"/>
      <c r="E7" s="1106" t="s">
        <v>468</v>
      </c>
      <c r="F7" s="1107"/>
      <c r="G7" s="397" t="s">
        <v>459</v>
      </c>
      <c r="H7" s="393"/>
      <c r="I7" s="98"/>
      <c r="J7" s="98"/>
      <c r="K7" s="98"/>
      <c r="L7" s="1105"/>
      <c r="M7" s="398"/>
    </row>
    <row r="8" spans="1:13" s="406" customFormat="1" hidden="1">
      <c r="A8" s="1108" t="s">
        <v>469</v>
      </c>
      <c r="B8" s="1109"/>
      <c r="C8" s="400"/>
      <c r="D8" s="400"/>
      <c r="E8" s="401" t="s">
        <v>470</v>
      </c>
      <c r="F8" s="402"/>
      <c r="G8" s="403"/>
      <c r="H8" s="403"/>
      <c r="I8" s="404"/>
      <c r="J8" s="404"/>
      <c r="K8" s="404"/>
      <c r="L8" s="404"/>
      <c r="M8" s="405"/>
    </row>
    <row r="9" spans="1:13" s="399" customFormat="1">
      <c r="A9" s="1110" t="s">
        <v>11</v>
      </c>
      <c r="B9" s="1111"/>
      <c r="C9" s="407"/>
      <c r="D9" s="407"/>
      <c r="E9" s="98">
        <f t="shared" ref="E9:K9" si="0">+E10+E19+E25+E31+E40+E49+E58+E63+E71+E76+E82+E90+E98</f>
        <v>2116864</v>
      </c>
      <c r="F9" s="98">
        <f>+F10+F19+F25+F31+F40+F49+F58+F63+F71+F76+F82+F90+F98</f>
        <v>358220</v>
      </c>
      <c r="G9" s="98">
        <f>+G10+G19+G25+G31+G40+G49+G58+G63+G71+G76+G82+G90+G98</f>
        <v>600000</v>
      </c>
      <c r="H9" s="98">
        <f>+H10+H19+H25+H31+H40+H49+H58+H63+H71+H76+H82+H90+H98</f>
        <v>0</v>
      </c>
      <c r="I9" s="98">
        <f t="shared" si="0"/>
        <v>0</v>
      </c>
      <c r="J9" s="98">
        <f t="shared" si="0"/>
        <v>0</v>
      </c>
      <c r="K9" s="98">
        <f t="shared" si="0"/>
        <v>0</v>
      </c>
      <c r="L9" s="98">
        <f>+L10+L19+L25+L31+L40+L49+L58+L63+L71+L76+L82+L90+L98</f>
        <v>3075084</v>
      </c>
      <c r="M9" s="408"/>
    </row>
    <row r="10" spans="1:13" s="412" customFormat="1">
      <c r="A10" s="409" t="s">
        <v>471</v>
      </c>
      <c r="B10" s="410"/>
      <c r="C10" s="410"/>
      <c r="D10" s="410"/>
      <c r="E10" s="125">
        <f t="shared" ref="E10:K10" si="1">SUM(E11:E18)</f>
        <v>587630</v>
      </c>
      <c r="F10" s="125">
        <f t="shared" si="1"/>
        <v>15000</v>
      </c>
      <c r="G10" s="125">
        <f>SUM(G11:G18)</f>
        <v>0</v>
      </c>
      <c r="H10" s="125">
        <f>SUM(H11:H18)</f>
        <v>0</v>
      </c>
      <c r="I10" s="125">
        <f t="shared" si="1"/>
        <v>0</v>
      </c>
      <c r="J10" s="125">
        <f t="shared" si="1"/>
        <v>0</v>
      </c>
      <c r="K10" s="125">
        <f t="shared" si="1"/>
        <v>0</v>
      </c>
      <c r="L10" s="125">
        <f>SUM(L11:L18)</f>
        <v>602630</v>
      </c>
      <c r="M10" s="411"/>
    </row>
    <row r="11" spans="1:13" s="419" customFormat="1">
      <c r="A11" s="413"/>
      <c r="B11" s="414" t="s">
        <v>472</v>
      </c>
      <c r="C11" s="415" t="s">
        <v>473</v>
      </c>
      <c r="D11" s="416">
        <v>2100200154</v>
      </c>
      <c r="E11" s="417">
        <v>417960</v>
      </c>
      <c r="F11" s="417"/>
      <c r="G11" s="417"/>
      <c r="H11" s="417"/>
      <c r="I11" s="417"/>
      <c r="J11" s="417"/>
      <c r="K11" s="417"/>
      <c r="L11" s="418">
        <f t="shared" ref="L11:L18" si="2">SUM(E11,F11,G11,H11,I11,J11,K11)</f>
        <v>417960</v>
      </c>
      <c r="M11" s="380"/>
    </row>
    <row r="12" spans="1:13" s="419" customFormat="1">
      <c r="A12" s="420"/>
      <c r="B12" s="421" t="s">
        <v>474</v>
      </c>
      <c r="C12" s="422" t="s">
        <v>475</v>
      </c>
      <c r="D12" s="423">
        <v>2100200156</v>
      </c>
      <c r="E12" s="424"/>
      <c r="F12" s="424">
        <v>15000</v>
      </c>
      <c r="G12" s="424"/>
      <c r="H12" s="424"/>
      <c r="I12" s="424"/>
      <c r="J12" s="424"/>
      <c r="K12" s="424"/>
      <c r="L12" s="418">
        <f t="shared" si="2"/>
        <v>15000</v>
      </c>
      <c r="M12" s="380"/>
    </row>
    <row r="13" spans="1:13" s="419" customFormat="1">
      <c r="A13" s="420"/>
      <c r="B13" s="421" t="s">
        <v>476</v>
      </c>
      <c r="C13" s="422" t="s">
        <v>477</v>
      </c>
      <c r="D13" s="423">
        <v>2100200158</v>
      </c>
      <c r="E13" s="424"/>
      <c r="F13" s="424"/>
      <c r="G13" s="424"/>
      <c r="H13" s="424"/>
      <c r="I13" s="424"/>
      <c r="J13" s="424"/>
      <c r="K13" s="424"/>
      <c r="L13" s="418">
        <f t="shared" si="2"/>
        <v>0</v>
      </c>
      <c r="M13" s="380"/>
    </row>
    <row r="14" spans="1:13" s="419" customFormat="1">
      <c r="A14" s="420"/>
      <c r="B14" s="421" t="s">
        <v>478</v>
      </c>
      <c r="C14" s="422" t="s">
        <v>479</v>
      </c>
      <c r="D14" s="423">
        <v>2100200162</v>
      </c>
      <c r="E14" s="424"/>
      <c r="F14" s="424"/>
      <c r="G14" s="424"/>
      <c r="H14" s="424"/>
      <c r="I14" s="424"/>
      <c r="J14" s="424"/>
      <c r="K14" s="424"/>
      <c r="L14" s="418">
        <f t="shared" si="2"/>
        <v>0</v>
      </c>
      <c r="M14" s="380"/>
    </row>
    <row r="15" spans="1:13" s="419" customFormat="1">
      <c r="A15" s="420"/>
      <c r="B15" s="425" t="s">
        <v>480</v>
      </c>
      <c r="C15" s="422" t="s">
        <v>481</v>
      </c>
      <c r="D15" s="423">
        <v>2100200164</v>
      </c>
      <c r="E15" s="424">
        <v>169670</v>
      </c>
      <c r="F15" s="424"/>
      <c r="G15" s="424"/>
      <c r="H15" s="424"/>
      <c r="I15" s="424"/>
      <c r="J15" s="424"/>
      <c r="K15" s="424"/>
      <c r="L15" s="418">
        <f t="shared" si="2"/>
        <v>169670</v>
      </c>
      <c r="M15" s="380"/>
    </row>
    <row r="16" spans="1:13" s="419" customFormat="1">
      <c r="A16" s="420"/>
      <c r="B16" s="421" t="s">
        <v>482</v>
      </c>
      <c r="C16" s="422" t="s">
        <v>483</v>
      </c>
      <c r="D16" s="423">
        <v>2100200166</v>
      </c>
      <c r="E16" s="424"/>
      <c r="F16" s="424"/>
      <c r="G16" s="424"/>
      <c r="H16" s="424"/>
      <c r="I16" s="424"/>
      <c r="J16" s="424"/>
      <c r="K16" s="424"/>
      <c r="L16" s="418">
        <f t="shared" si="2"/>
        <v>0</v>
      </c>
      <c r="M16" s="380"/>
    </row>
    <row r="17" spans="1:14" s="419" customFormat="1">
      <c r="A17" s="420"/>
      <c r="B17" s="421" t="s">
        <v>484</v>
      </c>
      <c r="C17" s="422" t="s">
        <v>485</v>
      </c>
      <c r="D17" s="423">
        <v>2100200169</v>
      </c>
      <c r="E17" s="424"/>
      <c r="F17" s="424"/>
      <c r="G17" s="424"/>
      <c r="H17" s="424"/>
      <c r="I17" s="424"/>
      <c r="J17" s="424"/>
      <c r="K17" s="424"/>
      <c r="L17" s="418">
        <f t="shared" si="2"/>
        <v>0</v>
      </c>
      <c r="M17" s="380"/>
    </row>
    <row r="18" spans="1:14" s="419" customFormat="1">
      <c r="A18" s="426"/>
      <c r="B18" s="427" t="s">
        <v>486</v>
      </c>
      <c r="C18" s="428" t="s">
        <v>487</v>
      </c>
      <c r="D18" s="429">
        <v>2100200171</v>
      </c>
      <c r="E18" s="430"/>
      <c r="F18" s="430"/>
      <c r="G18" s="430"/>
      <c r="H18" s="430"/>
      <c r="I18" s="430"/>
      <c r="J18" s="430"/>
      <c r="K18" s="430"/>
      <c r="L18" s="418">
        <f t="shared" si="2"/>
        <v>0</v>
      </c>
      <c r="M18" s="380"/>
    </row>
    <row r="19" spans="1:14" s="433" customFormat="1">
      <c r="A19" s="409" t="s">
        <v>488</v>
      </c>
      <c r="B19" s="431"/>
      <c r="C19" s="431"/>
      <c r="D19" s="62"/>
      <c r="E19" s="432">
        <f t="shared" ref="E19:K19" si="3">SUM(E20:E24)</f>
        <v>54000</v>
      </c>
      <c r="F19" s="432">
        <f t="shared" si="3"/>
        <v>0</v>
      </c>
      <c r="G19" s="432">
        <f>SUM(G20:G24)</f>
        <v>0</v>
      </c>
      <c r="H19" s="432">
        <f>SUM(H20:H24)</f>
        <v>0</v>
      </c>
      <c r="I19" s="432">
        <f t="shared" si="3"/>
        <v>0</v>
      </c>
      <c r="J19" s="432">
        <f t="shared" si="3"/>
        <v>0</v>
      </c>
      <c r="K19" s="432">
        <f t="shared" si="3"/>
        <v>0</v>
      </c>
      <c r="L19" s="432">
        <f>SUM(L20:L24)</f>
        <v>54000</v>
      </c>
      <c r="M19" s="380"/>
      <c r="N19" s="419"/>
    </row>
    <row r="20" spans="1:14" s="419" customFormat="1">
      <c r="A20" s="413"/>
      <c r="B20" s="414" t="s">
        <v>489</v>
      </c>
      <c r="C20" s="415" t="s">
        <v>490</v>
      </c>
      <c r="D20" s="416">
        <v>2100200160</v>
      </c>
      <c r="E20" s="417"/>
      <c r="F20" s="417"/>
      <c r="G20" s="417"/>
      <c r="H20" s="417"/>
      <c r="I20" s="417"/>
      <c r="J20" s="417"/>
      <c r="K20" s="417"/>
      <c r="L20" s="418">
        <f>SUM(E20,F20,G20,H20,I20,J20,K20)</f>
        <v>0</v>
      </c>
      <c r="M20" s="380"/>
    </row>
    <row r="21" spans="1:14" s="419" customFormat="1">
      <c r="A21" s="420"/>
      <c r="B21" s="421" t="s">
        <v>491</v>
      </c>
      <c r="C21" s="422" t="s">
        <v>492</v>
      </c>
      <c r="D21" s="423">
        <v>2100200179</v>
      </c>
      <c r="E21" s="434">
        <v>54000</v>
      </c>
      <c r="F21" s="424"/>
      <c r="G21" s="424"/>
      <c r="H21" s="424"/>
      <c r="I21" s="424"/>
      <c r="J21" s="424"/>
      <c r="K21" s="424"/>
      <c r="L21" s="418">
        <f>SUM(E21,F21,G21,H21,I21,J21,K21)</f>
        <v>54000</v>
      </c>
      <c r="M21" s="380"/>
    </row>
    <row r="22" spans="1:14" s="419" customFormat="1">
      <c r="A22" s="420"/>
      <c r="B22" s="421" t="s">
        <v>493</v>
      </c>
      <c r="C22" s="422" t="s">
        <v>494</v>
      </c>
      <c r="D22" s="423">
        <v>2100200182</v>
      </c>
      <c r="E22" s="424"/>
      <c r="F22" s="424"/>
      <c r="G22" s="424"/>
      <c r="H22" s="424"/>
      <c r="I22" s="424"/>
      <c r="J22" s="424"/>
      <c r="K22" s="424"/>
      <c r="L22" s="418">
        <f>SUM(E22,F22,G22,H22,I22,J22,K22)</f>
        <v>0</v>
      </c>
      <c r="M22" s="380"/>
    </row>
    <row r="23" spans="1:14" s="419" customFormat="1">
      <c r="A23" s="420"/>
      <c r="B23" s="421" t="s">
        <v>495</v>
      </c>
      <c r="C23" s="422" t="s">
        <v>496</v>
      </c>
      <c r="D23" s="423">
        <v>2100200185</v>
      </c>
      <c r="E23" s="424"/>
      <c r="F23" s="424"/>
      <c r="G23" s="424"/>
      <c r="H23" s="424"/>
      <c r="I23" s="424"/>
      <c r="J23" s="424"/>
      <c r="K23" s="424"/>
      <c r="L23" s="418">
        <f>SUM(E23,F23,G23,H23,I23,J23,K23)</f>
        <v>0</v>
      </c>
      <c r="M23" s="380"/>
    </row>
    <row r="24" spans="1:14" s="419" customFormat="1">
      <c r="A24" s="435"/>
      <c r="B24" s="436" t="s">
        <v>497</v>
      </c>
      <c r="C24" s="437" t="s">
        <v>498</v>
      </c>
      <c r="D24" s="438">
        <v>2100200189</v>
      </c>
      <c r="E24" s="439"/>
      <c r="F24" s="439"/>
      <c r="G24" s="439"/>
      <c r="H24" s="439"/>
      <c r="I24" s="439"/>
      <c r="J24" s="439"/>
      <c r="K24" s="439"/>
      <c r="L24" s="418">
        <f>SUM(E24,F24,G24,H24,I24,J24,K24)</f>
        <v>0</v>
      </c>
      <c r="M24" s="380"/>
    </row>
    <row r="25" spans="1:14" s="433" customFormat="1">
      <c r="A25" s="409" t="s">
        <v>499</v>
      </c>
      <c r="B25" s="431"/>
      <c r="C25" s="431"/>
      <c r="D25" s="62"/>
      <c r="E25" s="432">
        <f t="shared" ref="E25:K25" si="4">SUM(E26:E30)</f>
        <v>0</v>
      </c>
      <c r="F25" s="432">
        <f t="shared" si="4"/>
        <v>0</v>
      </c>
      <c r="G25" s="432">
        <f t="shared" si="4"/>
        <v>0</v>
      </c>
      <c r="H25" s="432">
        <f t="shared" si="4"/>
        <v>0</v>
      </c>
      <c r="I25" s="432">
        <f t="shared" si="4"/>
        <v>0</v>
      </c>
      <c r="J25" s="432">
        <f t="shared" si="4"/>
        <v>0</v>
      </c>
      <c r="K25" s="432">
        <f t="shared" si="4"/>
        <v>0</v>
      </c>
      <c r="L25" s="432">
        <f>SUM(L26:L30)</f>
        <v>0</v>
      </c>
      <c r="M25" s="380"/>
      <c r="N25" s="419"/>
    </row>
    <row r="26" spans="1:14" s="419" customFormat="1">
      <c r="A26" s="413"/>
      <c r="B26" s="414" t="s">
        <v>500</v>
      </c>
      <c r="C26" s="415" t="s">
        <v>501</v>
      </c>
      <c r="D26" s="416">
        <v>2100200094</v>
      </c>
      <c r="E26" s="417"/>
      <c r="F26" s="417"/>
      <c r="G26" s="417"/>
      <c r="H26" s="417"/>
      <c r="I26" s="417"/>
      <c r="J26" s="417"/>
      <c r="K26" s="417"/>
      <c r="L26" s="418">
        <f>SUM(E26,F26,G26,H26,I26,J26,K26)</f>
        <v>0</v>
      </c>
      <c r="M26" s="380"/>
    </row>
    <row r="27" spans="1:14" s="419" customFormat="1">
      <c r="A27" s="420"/>
      <c r="B27" s="421" t="s">
        <v>502</v>
      </c>
      <c r="C27" s="422" t="s">
        <v>503</v>
      </c>
      <c r="D27" s="423">
        <v>2100200173</v>
      </c>
      <c r="E27" s="424"/>
      <c r="F27" s="424"/>
      <c r="G27" s="424"/>
      <c r="H27" s="424"/>
      <c r="I27" s="424"/>
      <c r="J27" s="424"/>
      <c r="K27" s="424"/>
      <c r="L27" s="418">
        <f>SUM(E27,F27,G27,H27,I27,J27,K27)</f>
        <v>0</v>
      </c>
      <c r="M27" s="380"/>
    </row>
    <row r="28" spans="1:14" s="419" customFormat="1">
      <c r="A28" s="420"/>
      <c r="B28" s="421" t="s">
        <v>504</v>
      </c>
      <c r="C28" s="422" t="s">
        <v>505</v>
      </c>
      <c r="D28" s="423">
        <v>2100200175</v>
      </c>
      <c r="E28" s="424"/>
      <c r="F28" s="424"/>
      <c r="G28" s="424"/>
      <c r="H28" s="424"/>
      <c r="I28" s="424"/>
      <c r="J28" s="424"/>
      <c r="K28" s="424"/>
      <c r="L28" s="418">
        <f>SUM(E28,F28,G28,H28,I28,J28,K28)</f>
        <v>0</v>
      </c>
      <c r="M28" s="380"/>
    </row>
    <row r="29" spans="1:14" s="419" customFormat="1">
      <c r="A29" s="420"/>
      <c r="B29" s="421" t="s">
        <v>506</v>
      </c>
      <c r="C29" s="422" t="s">
        <v>507</v>
      </c>
      <c r="D29" s="423">
        <v>2100200177</v>
      </c>
      <c r="E29" s="424"/>
      <c r="F29" s="424"/>
      <c r="G29" s="424"/>
      <c r="H29" s="424"/>
      <c r="I29" s="424"/>
      <c r="J29" s="424"/>
      <c r="K29" s="424"/>
      <c r="L29" s="418">
        <f>SUM(E29,F29,G29,H29,I29,J29,K29)</f>
        <v>0</v>
      </c>
      <c r="M29" s="380"/>
    </row>
    <row r="30" spans="1:14" s="419" customFormat="1">
      <c r="A30" s="435"/>
      <c r="B30" s="436" t="s">
        <v>508</v>
      </c>
      <c r="C30" s="437" t="s">
        <v>509</v>
      </c>
      <c r="D30" s="438">
        <v>2100200187</v>
      </c>
      <c r="E30" s="439"/>
      <c r="F30" s="439"/>
      <c r="G30" s="439"/>
      <c r="H30" s="439"/>
      <c r="I30" s="439"/>
      <c r="J30" s="439"/>
      <c r="K30" s="439"/>
      <c r="L30" s="440">
        <f>SUM(E30,F30,G30,H30,I30,J30,K30)</f>
        <v>0</v>
      </c>
      <c r="M30" s="380"/>
    </row>
    <row r="31" spans="1:14" s="419" customFormat="1">
      <c r="A31" s="409" t="s">
        <v>510</v>
      </c>
      <c r="B31" s="441"/>
      <c r="C31" s="441"/>
      <c r="D31" s="228"/>
      <c r="E31" s="432">
        <f t="shared" ref="E31:K31" si="5">SUM(E32:E39)</f>
        <v>0</v>
      </c>
      <c r="F31" s="432">
        <f t="shared" si="5"/>
        <v>0</v>
      </c>
      <c r="G31" s="432">
        <f t="shared" si="5"/>
        <v>0</v>
      </c>
      <c r="H31" s="432">
        <f t="shared" si="5"/>
        <v>0</v>
      </c>
      <c r="I31" s="432">
        <f t="shared" si="5"/>
        <v>0</v>
      </c>
      <c r="J31" s="432">
        <f t="shared" si="5"/>
        <v>0</v>
      </c>
      <c r="K31" s="432">
        <f t="shared" si="5"/>
        <v>0</v>
      </c>
      <c r="L31" s="432">
        <f>SUM(L32:L39)</f>
        <v>0</v>
      </c>
      <c r="M31" s="380"/>
    </row>
    <row r="32" spans="1:14" s="419" customFormat="1">
      <c r="A32" s="413"/>
      <c r="B32" s="414" t="s">
        <v>511</v>
      </c>
      <c r="C32" s="415" t="s">
        <v>512</v>
      </c>
      <c r="D32" s="416">
        <v>2100200078</v>
      </c>
      <c r="E32" s="417"/>
      <c r="F32" s="417"/>
      <c r="G32" s="417"/>
      <c r="H32" s="417"/>
      <c r="I32" s="417"/>
      <c r="J32" s="417"/>
      <c r="K32" s="417"/>
      <c r="L32" s="418">
        <f t="shared" ref="L32:L39" si="6">SUM(E32,F32,G32,H32,I32,J32,K32)</f>
        <v>0</v>
      </c>
      <c r="M32" s="380"/>
    </row>
    <row r="33" spans="1:13" s="419" customFormat="1">
      <c r="A33" s="420"/>
      <c r="B33" s="421" t="s">
        <v>513</v>
      </c>
      <c r="C33" s="422" t="s">
        <v>514</v>
      </c>
      <c r="D33" s="423">
        <v>2100200081</v>
      </c>
      <c r="E33" s="424"/>
      <c r="F33" s="424"/>
      <c r="G33" s="424"/>
      <c r="H33" s="424"/>
      <c r="I33" s="424"/>
      <c r="J33" s="424"/>
      <c r="K33" s="424"/>
      <c r="L33" s="418">
        <f t="shared" si="6"/>
        <v>0</v>
      </c>
      <c r="M33" s="380"/>
    </row>
    <row r="34" spans="1:13" s="419" customFormat="1">
      <c r="A34" s="420"/>
      <c r="B34" s="421" t="s">
        <v>515</v>
      </c>
      <c r="C34" s="422" t="s">
        <v>516</v>
      </c>
      <c r="D34" s="423">
        <v>2100200083</v>
      </c>
      <c r="E34" s="424"/>
      <c r="F34" s="424"/>
      <c r="G34" s="424"/>
      <c r="H34" s="424"/>
      <c r="I34" s="424"/>
      <c r="J34" s="424"/>
      <c r="K34" s="424"/>
      <c r="L34" s="418">
        <f t="shared" si="6"/>
        <v>0</v>
      </c>
      <c r="M34" s="380"/>
    </row>
    <row r="35" spans="1:13" s="419" customFormat="1">
      <c r="A35" s="420"/>
      <c r="B35" s="421" t="s">
        <v>517</v>
      </c>
      <c r="C35" s="422" t="s">
        <v>518</v>
      </c>
      <c r="D35" s="423">
        <v>2100200086</v>
      </c>
      <c r="E35" s="424"/>
      <c r="F35" s="424"/>
      <c r="G35" s="424"/>
      <c r="H35" s="424"/>
      <c r="I35" s="424"/>
      <c r="J35" s="424"/>
      <c r="K35" s="424"/>
      <c r="L35" s="418">
        <f t="shared" si="6"/>
        <v>0</v>
      </c>
      <c r="M35" s="380"/>
    </row>
    <row r="36" spans="1:13" s="419" customFormat="1">
      <c r="A36" s="420"/>
      <c r="B36" s="425" t="s">
        <v>519</v>
      </c>
      <c r="C36" s="422" t="s">
        <v>520</v>
      </c>
      <c r="D36" s="423">
        <v>2100200088</v>
      </c>
      <c r="E36" s="424"/>
      <c r="F36" s="424"/>
      <c r="G36" s="424"/>
      <c r="H36" s="424"/>
      <c r="I36" s="424"/>
      <c r="J36" s="424"/>
      <c r="K36" s="424"/>
      <c r="L36" s="418">
        <f t="shared" si="6"/>
        <v>0</v>
      </c>
      <c r="M36" s="380"/>
    </row>
    <row r="37" spans="1:13" s="419" customFormat="1">
      <c r="A37" s="420"/>
      <c r="B37" s="421" t="s">
        <v>521</v>
      </c>
      <c r="C37" s="422" t="s">
        <v>522</v>
      </c>
      <c r="D37" s="423">
        <v>2100200091</v>
      </c>
      <c r="E37" s="424"/>
      <c r="F37" s="424"/>
      <c r="G37" s="424"/>
      <c r="H37" s="424"/>
      <c r="I37" s="424"/>
      <c r="J37" s="424"/>
      <c r="K37" s="424"/>
      <c r="L37" s="418">
        <f t="shared" si="6"/>
        <v>0</v>
      </c>
      <c r="M37" s="380"/>
    </row>
    <row r="38" spans="1:13" s="419" customFormat="1">
      <c r="A38" s="420"/>
      <c r="B38" s="421" t="s">
        <v>523</v>
      </c>
      <c r="C38" s="422" t="s">
        <v>524</v>
      </c>
      <c r="D38" s="423">
        <v>2100200096</v>
      </c>
      <c r="E38" s="424"/>
      <c r="F38" s="424"/>
      <c r="G38" s="424"/>
      <c r="H38" s="424"/>
      <c r="I38" s="424"/>
      <c r="J38" s="424"/>
      <c r="K38" s="424"/>
      <c r="L38" s="418">
        <f t="shared" si="6"/>
        <v>0</v>
      </c>
      <c r="M38" s="380"/>
    </row>
    <row r="39" spans="1:13" s="419" customFormat="1">
      <c r="A39" s="426"/>
      <c r="B39" s="427" t="s">
        <v>525</v>
      </c>
      <c r="C39" s="428" t="s">
        <v>526</v>
      </c>
      <c r="D39" s="429">
        <v>2100200111</v>
      </c>
      <c r="E39" s="430"/>
      <c r="F39" s="430"/>
      <c r="G39" s="430"/>
      <c r="H39" s="430"/>
      <c r="I39" s="430"/>
      <c r="J39" s="430"/>
      <c r="K39" s="430"/>
      <c r="L39" s="418">
        <f t="shared" si="6"/>
        <v>0</v>
      </c>
      <c r="M39" s="380"/>
    </row>
    <row r="40" spans="1:13" s="419" customFormat="1">
      <c r="A40" s="409" t="s">
        <v>527</v>
      </c>
      <c r="B40" s="441"/>
      <c r="C40" s="441"/>
      <c r="D40" s="228"/>
      <c r="E40" s="432">
        <f t="shared" ref="E40:K40" si="7">SUM(E41:E48)</f>
        <v>38020</v>
      </c>
      <c r="F40" s="432">
        <f t="shared" si="7"/>
        <v>92500</v>
      </c>
      <c r="G40" s="432">
        <f t="shared" si="7"/>
        <v>0</v>
      </c>
      <c r="H40" s="432">
        <f t="shared" si="7"/>
        <v>0</v>
      </c>
      <c r="I40" s="432">
        <f t="shared" si="7"/>
        <v>0</v>
      </c>
      <c r="J40" s="432">
        <f t="shared" si="7"/>
        <v>0</v>
      </c>
      <c r="K40" s="432">
        <f t="shared" si="7"/>
        <v>0</v>
      </c>
      <c r="L40" s="432">
        <f>SUM(L41:L48)</f>
        <v>130520</v>
      </c>
      <c r="M40" s="380"/>
    </row>
    <row r="41" spans="1:13" s="419" customFormat="1">
      <c r="A41" s="413"/>
      <c r="B41" s="414" t="s">
        <v>528</v>
      </c>
      <c r="C41" s="415" t="s">
        <v>529</v>
      </c>
      <c r="D41" s="416">
        <v>2100200191</v>
      </c>
      <c r="E41" s="417"/>
      <c r="F41" s="417"/>
      <c r="G41" s="417"/>
      <c r="H41" s="417"/>
      <c r="I41" s="417"/>
      <c r="J41" s="417"/>
      <c r="K41" s="417"/>
      <c r="L41" s="418">
        <f t="shared" ref="L41:L48" si="8">SUM(E41,F41,G41,H41,I41,J41,K41)</f>
        <v>0</v>
      </c>
      <c r="M41" s="380"/>
    </row>
    <row r="42" spans="1:13" s="419" customFormat="1">
      <c r="A42" s="420"/>
      <c r="B42" s="421" t="s">
        <v>530</v>
      </c>
      <c r="C42" s="422" t="s">
        <v>531</v>
      </c>
      <c r="D42" s="423">
        <v>2100200196</v>
      </c>
      <c r="E42" s="424">
        <v>38020</v>
      </c>
      <c r="F42" s="424"/>
      <c r="G42" s="424"/>
      <c r="H42" s="424"/>
      <c r="I42" s="424"/>
      <c r="J42" s="424"/>
      <c r="K42" s="424"/>
      <c r="L42" s="418">
        <f t="shared" si="8"/>
        <v>38020</v>
      </c>
      <c r="M42" s="380"/>
    </row>
    <row r="43" spans="1:13" s="419" customFormat="1">
      <c r="A43" s="420"/>
      <c r="B43" s="421" t="s">
        <v>532</v>
      </c>
      <c r="C43" s="422" t="s">
        <v>533</v>
      </c>
      <c r="D43" s="423">
        <v>2100200199</v>
      </c>
      <c r="E43" s="424"/>
      <c r="F43" s="424"/>
      <c r="G43" s="424"/>
      <c r="H43" s="424"/>
      <c r="I43" s="424"/>
      <c r="J43" s="424"/>
      <c r="K43" s="424"/>
      <c r="L43" s="418">
        <f t="shared" si="8"/>
        <v>0</v>
      </c>
      <c r="M43" s="380"/>
    </row>
    <row r="44" spans="1:13" s="419" customFormat="1">
      <c r="A44" s="420"/>
      <c r="B44" s="421" t="s">
        <v>534</v>
      </c>
      <c r="C44" s="422" t="s">
        <v>535</v>
      </c>
      <c r="D44" s="423">
        <v>2100200202</v>
      </c>
      <c r="E44" s="424"/>
      <c r="F44" s="424"/>
      <c r="G44" s="424"/>
      <c r="H44" s="424"/>
      <c r="I44" s="424"/>
      <c r="J44" s="424"/>
      <c r="K44" s="424"/>
      <c r="L44" s="418">
        <f t="shared" si="8"/>
        <v>0</v>
      </c>
      <c r="M44" s="380"/>
    </row>
    <row r="45" spans="1:13" s="419" customFormat="1">
      <c r="A45" s="420"/>
      <c r="B45" s="425" t="s">
        <v>536</v>
      </c>
      <c r="C45" s="422" t="s">
        <v>537</v>
      </c>
      <c r="D45" s="423">
        <v>2100200204</v>
      </c>
      <c r="E45" s="424"/>
      <c r="F45" s="424">
        <v>92500</v>
      </c>
      <c r="G45" s="424"/>
      <c r="H45" s="424"/>
      <c r="I45" s="424"/>
      <c r="J45" s="424"/>
      <c r="K45" s="424"/>
      <c r="L45" s="418">
        <f t="shared" si="8"/>
        <v>92500</v>
      </c>
      <c r="M45" s="380"/>
    </row>
    <row r="46" spans="1:13" s="419" customFormat="1">
      <c r="A46" s="420"/>
      <c r="B46" s="421" t="s">
        <v>538</v>
      </c>
      <c r="C46" s="422" t="s">
        <v>539</v>
      </c>
      <c r="D46" s="423">
        <v>2100200206</v>
      </c>
      <c r="E46" s="424"/>
      <c r="F46" s="424"/>
      <c r="G46" s="424"/>
      <c r="H46" s="424"/>
      <c r="I46" s="424"/>
      <c r="J46" s="424"/>
      <c r="K46" s="424"/>
      <c r="L46" s="418">
        <f t="shared" si="8"/>
        <v>0</v>
      </c>
      <c r="M46" s="380"/>
    </row>
    <row r="47" spans="1:13" s="419" customFormat="1">
      <c r="A47" s="420"/>
      <c r="B47" s="421" t="s">
        <v>540</v>
      </c>
      <c r="C47" s="422" t="s">
        <v>541</v>
      </c>
      <c r="D47" s="423">
        <v>2100200219</v>
      </c>
      <c r="E47" s="424"/>
      <c r="F47" s="424"/>
      <c r="G47" s="424"/>
      <c r="H47" s="424"/>
      <c r="I47" s="424"/>
      <c r="J47" s="424"/>
      <c r="K47" s="424"/>
      <c r="L47" s="418">
        <f t="shared" si="8"/>
        <v>0</v>
      </c>
      <c r="M47" s="380"/>
    </row>
    <row r="48" spans="1:13" s="419" customFormat="1">
      <c r="A48" s="435"/>
      <c r="B48" s="436" t="s">
        <v>542</v>
      </c>
      <c r="C48" s="437" t="s">
        <v>543</v>
      </c>
      <c r="D48" s="438">
        <v>2100200221</v>
      </c>
      <c r="E48" s="439"/>
      <c r="F48" s="439"/>
      <c r="G48" s="439"/>
      <c r="H48" s="439"/>
      <c r="I48" s="439"/>
      <c r="J48" s="439"/>
      <c r="K48" s="439"/>
      <c r="L48" s="418">
        <f t="shared" si="8"/>
        <v>0</v>
      </c>
      <c r="M48" s="380"/>
    </row>
    <row r="49" spans="1:13" s="419" customFormat="1">
      <c r="A49" s="409" t="s">
        <v>544</v>
      </c>
      <c r="B49" s="441"/>
      <c r="C49" s="441"/>
      <c r="D49" s="228"/>
      <c r="E49" s="432">
        <f t="shared" ref="E49:K49" si="9">SUM(E50:E57)</f>
        <v>139800</v>
      </c>
      <c r="F49" s="432">
        <f t="shared" si="9"/>
        <v>0</v>
      </c>
      <c r="G49" s="432">
        <f t="shared" si="9"/>
        <v>0</v>
      </c>
      <c r="H49" s="432">
        <f t="shared" si="9"/>
        <v>0</v>
      </c>
      <c r="I49" s="432">
        <f t="shared" si="9"/>
        <v>0</v>
      </c>
      <c r="J49" s="432">
        <f t="shared" si="9"/>
        <v>0</v>
      </c>
      <c r="K49" s="432">
        <f t="shared" si="9"/>
        <v>0</v>
      </c>
      <c r="L49" s="432">
        <f>SUM(L50:L57)</f>
        <v>139800</v>
      </c>
      <c r="M49" s="380"/>
    </row>
    <row r="50" spans="1:13" s="419" customFormat="1">
      <c r="A50" s="413"/>
      <c r="B50" s="414" t="s">
        <v>545</v>
      </c>
      <c r="C50" s="415" t="s">
        <v>546</v>
      </c>
      <c r="D50" s="416">
        <v>2100200076</v>
      </c>
      <c r="E50" s="417"/>
      <c r="F50" s="417"/>
      <c r="G50" s="417"/>
      <c r="H50" s="417"/>
      <c r="I50" s="417"/>
      <c r="J50" s="417"/>
      <c r="K50" s="417"/>
      <c r="L50" s="418">
        <f t="shared" ref="L50:L57" si="10">SUM(E50,F50,G50,H50,I50,J50,K50)</f>
        <v>0</v>
      </c>
      <c r="M50" s="380"/>
    </row>
    <row r="51" spans="1:13" s="419" customFormat="1">
      <c r="A51" s="420"/>
      <c r="B51" s="421" t="s">
        <v>547</v>
      </c>
      <c r="C51" s="422" t="s">
        <v>548</v>
      </c>
      <c r="D51" s="423">
        <v>2100200099</v>
      </c>
      <c r="E51" s="424"/>
      <c r="F51" s="424"/>
      <c r="G51" s="424"/>
      <c r="H51" s="424"/>
      <c r="I51" s="424"/>
      <c r="J51" s="424"/>
      <c r="K51" s="424"/>
      <c r="L51" s="418">
        <f t="shared" si="10"/>
        <v>0</v>
      </c>
      <c r="M51" s="380"/>
    </row>
    <row r="52" spans="1:13" s="419" customFormat="1">
      <c r="A52" s="420"/>
      <c r="B52" s="421" t="s">
        <v>549</v>
      </c>
      <c r="C52" s="422" t="s">
        <v>550</v>
      </c>
      <c r="D52" s="423">
        <v>2100200101</v>
      </c>
      <c r="E52" s="424"/>
      <c r="F52" s="424"/>
      <c r="G52" s="424"/>
      <c r="H52" s="424"/>
      <c r="I52" s="424"/>
      <c r="J52" s="424"/>
      <c r="K52" s="424"/>
      <c r="L52" s="418">
        <f t="shared" si="10"/>
        <v>0</v>
      </c>
      <c r="M52" s="380"/>
    </row>
    <row r="53" spans="1:13" s="419" customFormat="1">
      <c r="A53" s="420"/>
      <c r="B53" s="421" t="s">
        <v>551</v>
      </c>
      <c r="C53" s="422" t="s">
        <v>552</v>
      </c>
      <c r="D53" s="423">
        <v>2100200103</v>
      </c>
      <c r="E53" s="424"/>
      <c r="F53" s="424"/>
      <c r="G53" s="424"/>
      <c r="H53" s="424"/>
      <c r="I53" s="424"/>
      <c r="J53" s="424"/>
      <c r="K53" s="424"/>
      <c r="L53" s="418">
        <f t="shared" si="10"/>
        <v>0</v>
      </c>
      <c r="M53" s="380"/>
    </row>
    <row r="54" spans="1:13" s="419" customFormat="1">
      <c r="A54" s="420"/>
      <c r="B54" s="425" t="s">
        <v>553</v>
      </c>
      <c r="C54" s="422" t="s">
        <v>554</v>
      </c>
      <c r="D54" s="423">
        <v>2100200105</v>
      </c>
      <c r="E54" s="424"/>
      <c r="F54" s="424"/>
      <c r="G54" s="424"/>
      <c r="H54" s="424"/>
      <c r="I54" s="424"/>
      <c r="J54" s="424"/>
      <c r="K54" s="424"/>
      <c r="L54" s="418">
        <f t="shared" si="10"/>
        <v>0</v>
      </c>
      <c r="M54" s="380"/>
    </row>
    <row r="55" spans="1:13" s="419" customFormat="1">
      <c r="A55" s="420"/>
      <c r="B55" s="421" t="s">
        <v>555</v>
      </c>
      <c r="C55" s="422" t="s">
        <v>556</v>
      </c>
      <c r="D55" s="423">
        <v>2100200107</v>
      </c>
      <c r="E55" s="424"/>
      <c r="F55" s="424"/>
      <c r="G55" s="424"/>
      <c r="H55" s="424"/>
      <c r="I55" s="424"/>
      <c r="J55" s="424"/>
      <c r="K55" s="424"/>
      <c r="L55" s="418">
        <f t="shared" si="10"/>
        <v>0</v>
      </c>
      <c r="M55" s="380"/>
    </row>
    <row r="56" spans="1:13" s="419" customFormat="1">
      <c r="A56" s="420"/>
      <c r="B56" s="421" t="s">
        <v>557</v>
      </c>
      <c r="C56" s="422" t="s">
        <v>558</v>
      </c>
      <c r="D56" s="423">
        <v>2100200109</v>
      </c>
      <c r="E56" s="424"/>
      <c r="F56" s="424"/>
      <c r="G56" s="424"/>
      <c r="H56" s="424"/>
      <c r="I56" s="424"/>
      <c r="J56" s="424"/>
      <c r="K56" s="424"/>
      <c r="L56" s="418">
        <f t="shared" si="10"/>
        <v>0</v>
      </c>
      <c r="M56" s="380"/>
    </row>
    <row r="57" spans="1:13" s="419" customFormat="1">
      <c r="A57" s="435"/>
      <c r="B57" s="436" t="s">
        <v>559</v>
      </c>
      <c r="C57" s="437" t="s">
        <v>560</v>
      </c>
      <c r="D57" s="438">
        <v>2100200113</v>
      </c>
      <c r="E57" s="439">
        <v>139800</v>
      </c>
      <c r="F57" s="439"/>
      <c r="G57" s="439"/>
      <c r="H57" s="439"/>
      <c r="I57" s="439"/>
      <c r="J57" s="439"/>
      <c r="K57" s="439"/>
      <c r="L57" s="440">
        <f t="shared" si="10"/>
        <v>139800</v>
      </c>
      <c r="M57" s="380"/>
    </row>
    <row r="58" spans="1:13" s="419" customFormat="1">
      <c r="A58" s="409" t="s">
        <v>561</v>
      </c>
      <c r="B58" s="441"/>
      <c r="C58" s="441"/>
      <c r="D58" s="228"/>
      <c r="E58" s="432">
        <f t="shared" ref="E58:K58" si="11">SUM(E59:E62)</f>
        <v>0</v>
      </c>
      <c r="F58" s="432">
        <f t="shared" si="11"/>
        <v>0</v>
      </c>
      <c r="G58" s="432">
        <f t="shared" si="11"/>
        <v>0</v>
      </c>
      <c r="H58" s="432">
        <f t="shared" si="11"/>
        <v>0</v>
      </c>
      <c r="I58" s="432">
        <f t="shared" si="11"/>
        <v>0</v>
      </c>
      <c r="J58" s="432">
        <f t="shared" si="11"/>
        <v>0</v>
      </c>
      <c r="K58" s="432">
        <f t="shared" si="11"/>
        <v>0</v>
      </c>
      <c r="L58" s="432">
        <f>SUM(L59:L62)</f>
        <v>0</v>
      </c>
      <c r="M58" s="380"/>
    </row>
    <row r="59" spans="1:13" s="419" customFormat="1">
      <c r="A59" s="413"/>
      <c r="B59" s="414" t="s">
        <v>562</v>
      </c>
      <c r="C59" s="415" t="s">
        <v>563</v>
      </c>
      <c r="D59" s="416">
        <v>2100200133</v>
      </c>
      <c r="E59" s="417"/>
      <c r="F59" s="417"/>
      <c r="G59" s="417"/>
      <c r="H59" s="417"/>
      <c r="I59" s="417"/>
      <c r="J59" s="417"/>
      <c r="K59" s="417"/>
      <c r="L59" s="418">
        <f>SUM(E59,F59,G59,H59,I59,J59,K59)</f>
        <v>0</v>
      </c>
      <c r="M59" s="380"/>
    </row>
    <row r="60" spans="1:13" s="419" customFormat="1">
      <c r="A60" s="420"/>
      <c r="B60" s="421" t="s">
        <v>564</v>
      </c>
      <c r="C60" s="422" t="s">
        <v>565</v>
      </c>
      <c r="D60" s="423">
        <v>2100200142</v>
      </c>
      <c r="E60" s="424"/>
      <c r="F60" s="424"/>
      <c r="G60" s="424"/>
      <c r="H60" s="424"/>
      <c r="I60" s="424"/>
      <c r="J60" s="424"/>
      <c r="K60" s="424"/>
      <c r="L60" s="418">
        <f>SUM(E60,F60,G60,H60,I60,J60,K60)</f>
        <v>0</v>
      </c>
      <c r="M60" s="380"/>
    </row>
    <row r="61" spans="1:13" s="419" customFormat="1">
      <c r="A61" s="420"/>
      <c r="B61" s="421" t="s">
        <v>566</v>
      </c>
      <c r="C61" s="422" t="s">
        <v>567</v>
      </c>
      <c r="D61" s="423">
        <v>2100200144</v>
      </c>
      <c r="E61" s="424"/>
      <c r="F61" s="424"/>
      <c r="G61" s="424"/>
      <c r="H61" s="424"/>
      <c r="I61" s="424"/>
      <c r="J61" s="424"/>
      <c r="K61" s="424"/>
      <c r="L61" s="418">
        <f>SUM(E61,F61,G61,H61,I61,J61,K61)</f>
        <v>0</v>
      </c>
      <c r="M61" s="380"/>
    </row>
    <row r="62" spans="1:13" s="419" customFormat="1">
      <c r="A62" s="426"/>
      <c r="B62" s="427" t="s">
        <v>568</v>
      </c>
      <c r="C62" s="428" t="s">
        <v>569</v>
      </c>
      <c r="D62" s="429">
        <v>2100200146</v>
      </c>
      <c r="E62" s="430"/>
      <c r="F62" s="430"/>
      <c r="G62" s="430"/>
      <c r="H62" s="430"/>
      <c r="I62" s="430"/>
      <c r="J62" s="430"/>
      <c r="K62" s="430"/>
      <c r="L62" s="418">
        <f>SUM(E62,F62,G62,H62,I62,J62,K62)</f>
        <v>0</v>
      </c>
      <c r="M62" s="380"/>
    </row>
    <row r="63" spans="1:13" s="419" customFormat="1">
      <c r="A63" s="409" t="s">
        <v>570</v>
      </c>
      <c r="B63" s="441"/>
      <c r="C63" s="441"/>
      <c r="D63" s="228"/>
      <c r="E63" s="432">
        <f t="shared" ref="E63:L63" si="12">SUM(E64:E70)</f>
        <v>449364</v>
      </c>
      <c r="F63" s="432">
        <f t="shared" si="12"/>
        <v>0</v>
      </c>
      <c r="G63" s="432">
        <f t="shared" si="12"/>
        <v>0</v>
      </c>
      <c r="H63" s="432">
        <f t="shared" si="12"/>
        <v>0</v>
      </c>
      <c r="I63" s="432">
        <f t="shared" si="12"/>
        <v>0</v>
      </c>
      <c r="J63" s="432">
        <f t="shared" si="12"/>
        <v>0</v>
      </c>
      <c r="K63" s="432">
        <f t="shared" si="12"/>
        <v>0</v>
      </c>
      <c r="L63" s="432">
        <f t="shared" si="12"/>
        <v>449364</v>
      </c>
      <c r="M63" s="380"/>
    </row>
    <row r="64" spans="1:13" s="419" customFormat="1">
      <c r="A64" s="420"/>
      <c r="B64" s="421" t="s">
        <v>571</v>
      </c>
      <c r="C64" s="422" t="s">
        <v>572</v>
      </c>
      <c r="D64" s="423">
        <v>2100200264</v>
      </c>
      <c r="E64" s="424">
        <v>93600</v>
      </c>
      <c r="F64" s="424"/>
      <c r="G64" s="424"/>
      <c r="H64" s="424"/>
      <c r="I64" s="424"/>
      <c r="J64" s="424"/>
      <c r="K64" s="424"/>
      <c r="L64" s="418">
        <f t="shared" ref="L64:L70" si="13">SUM(E64,F64,G64,H64,I64,J64,K64)</f>
        <v>93600</v>
      </c>
      <c r="M64" s="380"/>
    </row>
    <row r="65" spans="1:13" s="419" customFormat="1">
      <c r="A65" s="426"/>
      <c r="B65" s="427" t="s">
        <v>573</v>
      </c>
      <c r="C65" s="428" t="s">
        <v>574</v>
      </c>
      <c r="D65" s="429">
        <v>2100200131</v>
      </c>
      <c r="E65" s="430"/>
      <c r="F65" s="430"/>
      <c r="G65" s="430"/>
      <c r="H65" s="430"/>
      <c r="I65" s="430"/>
      <c r="J65" s="430"/>
      <c r="K65" s="430"/>
      <c r="L65" s="418">
        <f t="shared" si="13"/>
        <v>0</v>
      </c>
      <c r="M65" s="380"/>
    </row>
    <row r="66" spans="1:13" s="419" customFormat="1">
      <c r="A66" s="420"/>
      <c r="B66" s="425" t="s">
        <v>575</v>
      </c>
      <c r="C66" s="422" t="s">
        <v>576</v>
      </c>
      <c r="D66" s="423">
        <v>2100200136</v>
      </c>
      <c r="E66" s="424">
        <v>90000</v>
      </c>
      <c r="F66" s="424"/>
      <c r="G66" s="424"/>
      <c r="H66" s="424"/>
      <c r="I66" s="424"/>
      <c r="J66" s="424"/>
      <c r="K66" s="424"/>
      <c r="L66" s="418">
        <f t="shared" si="13"/>
        <v>90000</v>
      </c>
      <c r="M66" s="380"/>
    </row>
    <row r="67" spans="1:13" s="419" customFormat="1">
      <c r="A67" s="420"/>
      <c r="B67" s="421" t="s">
        <v>577</v>
      </c>
      <c r="C67" s="422" t="s">
        <v>578</v>
      </c>
      <c r="D67" s="423">
        <v>2100200138</v>
      </c>
      <c r="E67" s="424">
        <v>81464</v>
      </c>
      <c r="F67" s="424"/>
      <c r="G67" s="424"/>
      <c r="H67" s="424"/>
      <c r="I67" s="424"/>
      <c r="J67" s="424"/>
      <c r="K67" s="424"/>
      <c r="L67" s="418">
        <f t="shared" si="13"/>
        <v>81464</v>
      </c>
      <c r="M67" s="380"/>
    </row>
    <row r="68" spans="1:13" s="419" customFormat="1">
      <c r="A68" s="420"/>
      <c r="B68" s="421" t="s">
        <v>579</v>
      </c>
      <c r="C68" s="422" t="s">
        <v>580</v>
      </c>
      <c r="D68" s="423">
        <v>2100200140</v>
      </c>
      <c r="E68" s="424"/>
      <c r="F68" s="424"/>
      <c r="G68" s="424"/>
      <c r="H68" s="424"/>
      <c r="I68" s="424"/>
      <c r="J68" s="424"/>
      <c r="K68" s="424"/>
      <c r="L68" s="418">
        <f t="shared" si="13"/>
        <v>0</v>
      </c>
      <c r="M68" s="380"/>
    </row>
    <row r="69" spans="1:13" s="419" customFormat="1">
      <c r="A69" s="420"/>
      <c r="B69" s="421" t="s">
        <v>581</v>
      </c>
      <c r="C69" s="422" t="s">
        <v>582</v>
      </c>
      <c r="D69" s="423">
        <v>2100200148</v>
      </c>
      <c r="E69" s="424"/>
      <c r="F69" s="424"/>
      <c r="G69" s="424"/>
      <c r="H69" s="424"/>
      <c r="I69" s="424"/>
      <c r="J69" s="424"/>
      <c r="K69" s="424"/>
      <c r="L69" s="418">
        <f t="shared" si="13"/>
        <v>0</v>
      </c>
      <c r="M69" s="380"/>
    </row>
    <row r="70" spans="1:13" s="419" customFormat="1">
      <c r="A70" s="413"/>
      <c r="B70" s="414" t="s">
        <v>583</v>
      </c>
      <c r="C70" s="415" t="s">
        <v>584</v>
      </c>
      <c r="D70" s="416">
        <v>2100200150</v>
      </c>
      <c r="E70" s="417">
        <v>184300</v>
      </c>
      <c r="F70" s="417"/>
      <c r="G70" s="417"/>
      <c r="H70" s="417"/>
      <c r="I70" s="417"/>
      <c r="J70" s="417"/>
      <c r="K70" s="417"/>
      <c r="L70" s="418">
        <f t="shared" si="13"/>
        <v>184300</v>
      </c>
      <c r="M70" s="380"/>
    </row>
    <row r="71" spans="1:13" s="419" customFormat="1">
      <c r="A71" s="409" t="s">
        <v>585</v>
      </c>
      <c r="B71" s="441"/>
      <c r="C71" s="441"/>
      <c r="D71" s="228"/>
      <c r="E71" s="432">
        <f t="shared" ref="E71:L71" si="14">SUM(E72:E75)</f>
        <v>0</v>
      </c>
      <c r="F71" s="432">
        <f t="shared" si="14"/>
        <v>0</v>
      </c>
      <c r="G71" s="432">
        <f t="shared" si="14"/>
        <v>0</v>
      </c>
      <c r="H71" s="432">
        <f t="shared" si="14"/>
        <v>0</v>
      </c>
      <c r="I71" s="432">
        <f t="shared" si="14"/>
        <v>0</v>
      </c>
      <c r="J71" s="432">
        <f t="shared" si="14"/>
        <v>0</v>
      </c>
      <c r="K71" s="432">
        <f t="shared" si="14"/>
        <v>0</v>
      </c>
      <c r="L71" s="432">
        <f t="shared" si="14"/>
        <v>0</v>
      </c>
      <c r="M71" s="380"/>
    </row>
    <row r="72" spans="1:13" s="419" customFormat="1">
      <c r="A72" s="413"/>
      <c r="B72" s="414" t="s">
        <v>586</v>
      </c>
      <c r="C72" s="415" t="s">
        <v>587</v>
      </c>
      <c r="D72" s="416">
        <v>2100200115</v>
      </c>
      <c r="E72" s="417"/>
      <c r="F72" s="417"/>
      <c r="G72" s="417"/>
      <c r="H72" s="417"/>
      <c r="I72" s="417"/>
      <c r="J72" s="417"/>
      <c r="K72" s="417"/>
      <c r="L72" s="418">
        <f>SUM(E72,F72,G72,H72,I72,J72,K72)</f>
        <v>0</v>
      </c>
      <c r="M72" s="380"/>
    </row>
    <row r="73" spans="1:13" s="419" customFormat="1">
      <c r="A73" s="420"/>
      <c r="B73" s="421" t="s">
        <v>588</v>
      </c>
      <c r="C73" s="422" t="s">
        <v>589</v>
      </c>
      <c r="D73" s="423">
        <v>2100200117</v>
      </c>
      <c r="E73" s="424"/>
      <c r="F73" s="424"/>
      <c r="G73" s="424"/>
      <c r="H73" s="424"/>
      <c r="I73" s="424"/>
      <c r="J73" s="424"/>
      <c r="K73" s="424"/>
      <c r="L73" s="418">
        <f>SUM(E73,F73,G73,H73,I73,J73,K73)</f>
        <v>0</v>
      </c>
      <c r="M73" s="380"/>
    </row>
    <row r="74" spans="1:13" s="419" customFormat="1">
      <c r="A74" s="420"/>
      <c r="B74" s="421" t="s">
        <v>590</v>
      </c>
      <c r="C74" s="422" t="s">
        <v>591</v>
      </c>
      <c r="D74" s="423">
        <v>2100200119</v>
      </c>
      <c r="E74" s="424"/>
      <c r="F74" s="424"/>
      <c r="G74" s="424"/>
      <c r="H74" s="424"/>
      <c r="I74" s="424"/>
      <c r="J74" s="424"/>
      <c r="K74" s="424"/>
      <c r="L74" s="418">
        <f>SUM(E74,F74,G74,H74,I74,J74,K74)</f>
        <v>0</v>
      </c>
      <c r="M74" s="380"/>
    </row>
    <row r="75" spans="1:13" s="419" customFormat="1">
      <c r="A75" s="426"/>
      <c r="B75" s="427" t="s">
        <v>592</v>
      </c>
      <c r="C75" s="428" t="s">
        <v>593</v>
      </c>
      <c r="D75" s="429">
        <v>2100200127</v>
      </c>
      <c r="E75" s="430"/>
      <c r="F75" s="430"/>
      <c r="G75" s="430"/>
      <c r="H75" s="430"/>
      <c r="I75" s="430"/>
      <c r="J75" s="430"/>
      <c r="K75" s="430"/>
      <c r="L75" s="418">
        <f>SUM(E75,F75,G75,H75,I75,J75,K75)</f>
        <v>0</v>
      </c>
      <c r="M75" s="380"/>
    </row>
    <row r="76" spans="1:13" s="419" customFormat="1">
      <c r="A76" s="409" t="s">
        <v>594</v>
      </c>
      <c r="B76" s="441"/>
      <c r="C76" s="441"/>
      <c r="D76" s="228"/>
      <c r="E76" s="432">
        <f t="shared" ref="E76:K76" si="15">SUM(E77:E81)</f>
        <v>106720</v>
      </c>
      <c r="F76" s="432">
        <f t="shared" si="15"/>
        <v>230720</v>
      </c>
      <c r="G76" s="432">
        <f t="shared" si="15"/>
        <v>0</v>
      </c>
      <c r="H76" s="432">
        <f t="shared" si="15"/>
        <v>0</v>
      </c>
      <c r="I76" s="432">
        <f t="shared" si="15"/>
        <v>0</v>
      </c>
      <c r="J76" s="432">
        <f t="shared" si="15"/>
        <v>0</v>
      </c>
      <c r="K76" s="432">
        <f t="shared" si="15"/>
        <v>0</v>
      </c>
      <c r="L76" s="432">
        <f>SUM(L77:L81)</f>
        <v>337440</v>
      </c>
      <c r="M76" s="380"/>
    </row>
    <row r="77" spans="1:13" s="419" customFormat="1">
      <c r="A77" s="413"/>
      <c r="B77" s="414" t="s">
        <v>595</v>
      </c>
      <c r="C77" s="415" t="s">
        <v>596</v>
      </c>
      <c r="D77" s="416">
        <v>2100200121</v>
      </c>
      <c r="E77" s="417"/>
      <c r="F77" s="417"/>
      <c r="G77" s="417"/>
      <c r="H77" s="417"/>
      <c r="I77" s="417"/>
      <c r="J77" s="417"/>
      <c r="K77" s="417"/>
      <c r="L77" s="418">
        <f>SUM(E77,F77,G77,H77,I77,J77,K77)</f>
        <v>0</v>
      </c>
      <c r="M77" s="380"/>
    </row>
    <row r="78" spans="1:13" s="419" customFormat="1">
      <c r="A78" s="420"/>
      <c r="B78" s="421" t="s">
        <v>597</v>
      </c>
      <c r="C78" s="422" t="s">
        <v>598</v>
      </c>
      <c r="D78" s="423">
        <v>2100200123</v>
      </c>
      <c r="E78" s="424"/>
      <c r="F78" s="424">
        <v>230720</v>
      </c>
      <c r="G78" s="424"/>
      <c r="H78" s="424"/>
      <c r="I78" s="424"/>
      <c r="J78" s="424"/>
      <c r="K78" s="424"/>
      <c r="L78" s="418">
        <f>SUM(E78,F78,G78,H78,I78,J78,K78)</f>
        <v>230720</v>
      </c>
      <c r="M78" s="380"/>
    </row>
    <row r="79" spans="1:13" s="419" customFormat="1">
      <c r="A79" s="420"/>
      <c r="B79" s="421" t="s">
        <v>599</v>
      </c>
      <c r="C79" s="422" t="s">
        <v>600</v>
      </c>
      <c r="D79" s="423">
        <v>2100200125</v>
      </c>
      <c r="E79" s="424"/>
      <c r="F79" s="424"/>
      <c r="G79" s="424"/>
      <c r="H79" s="424"/>
      <c r="I79" s="424"/>
      <c r="J79" s="424"/>
      <c r="K79" s="424"/>
      <c r="L79" s="418">
        <f>SUM(E79,F79,G79,H79,I79,J79,K79)</f>
        <v>0</v>
      </c>
      <c r="M79" s="380"/>
    </row>
    <row r="80" spans="1:13" s="419" customFormat="1">
      <c r="A80" s="420"/>
      <c r="B80" s="421" t="s">
        <v>601</v>
      </c>
      <c r="C80" s="422" t="s">
        <v>602</v>
      </c>
      <c r="D80" s="423">
        <v>2100200129</v>
      </c>
      <c r="E80" s="424"/>
      <c r="F80" s="424"/>
      <c r="G80" s="424"/>
      <c r="H80" s="424"/>
      <c r="I80" s="424"/>
      <c r="J80" s="424"/>
      <c r="K80" s="424"/>
      <c r="L80" s="418">
        <f>SUM(E80,F80,G80,H80,I80,J80,K80)</f>
        <v>0</v>
      </c>
      <c r="M80" s="380"/>
    </row>
    <row r="81" spans="1:13" s="419" customFormat="1">
      <c r="A81" s="435"/>
      <c r="B81" s="436" t="s">
        <v>603</v>
      </c>
      <c r="C81" s="437" t="s">
        <v>604</v>
      </c>
      <c r="D81" s="438">
        <v>2100200152</v>
      </c>
      <c r="E81" s="439">
        <v>106720</v>
      </c>
      <c r="F81" s="439"/>
      <c r="G81" s="439"/>
      <c r="H81" s="439"/>
      <c r="I81" s="439"/>
      <c r="J81" s="439"/>
      <c r="K81" s="439"/>
      <c r="L81" s="440">
        <f>SUM(E81,F81,G81,H81,I81,J81,K81)</f>
        <v>106720</v>
      </c>
      <c r="M81" s="380"/>
    </row>
    <row r="82" spans="1:13" s="419" customFormat="1">
      <c r="A82" s="409" t="s">
        <v>605</v>
      </c>
      <c r="B82" s="441"/>
      <c r="C82" s="441"/>
      <c r="D82" s="228"/>
      <c r="E82" s="432">
        <f t="shared" ref="E82:L82" si="16">SUM(E83:E89)</f>
        <v>383960</v>
      </c>
      <c r="F82" s="432">
        <f t="shared" si="16"/>
        <v>0</v>
      </c>
      <c r="G82" s="432">
        <f t="shared" si="16"/>
        <v>0</v>
      </c>
      <c r="H82" s="432">
        <f t="shared" si="16"/>
        <v>0</v>
      </c>
      <c r="I82" s="432">
        <f t="shared" si="16"/>
        <v>0</v>
      </c>
      <c r="J82" s="432">
        <f t="shared" si="16"/>
        <v>0</v>
      </c>
      <c r="K82" s="432">
        <f t="shared" si="16"/>
        <v>0</v>
      </c>
      <c r="L82" s="432">
        <f t="shared" si="16"/>
        <v>383960</v>
      </c>
      <c r="M82" s="380"/>
    </row>
    <row r="83" spans="1:13" s="419" customFormat="1">
      <c r="A83" s="413"/>
      <c r="B83" s="414" t="s">
        <v>606</v>
      </c>
      <c r="C83" s="415" t="s">
        <v>607</v>
      </c>
      <c r="D83" s="416">
        <v>2100200223</v>
      </c>
      <c r="E83" s="417"/>
      <c r="F83" s="417"/>
      <c r="G83" s="417"/>
      <c r="H83" s="417"/>
      <c r="I83" s="417"/>
      <c r="J83" s="417"/>
      <c r="K83" s="417"/>
      <c r="L83" s="418">
        <f t="shared" ref="L83:L89" si="17">SUM(E83,F83,G83,H83,I83,J83,K83)</f>
        <v>0</v>
      </c>
      <c r="M83" s="380"/>
    </row>
    <row r="84" spans="1:13" s="419" customFormat="1">
      <c r="A84" s="420"/>
      <c r="B84" s="421" t="s">
        <v>608</v>
      </c>
      <c r="C84" s="422" t="s">
        <v>609</v>
      </c>
      <c r="D84" s="423">
        <v>2100200225</v>
      </c>
      <c r="E84" s="424">
        <v>118000</v>
      </c>
      <c r="F84" s="424"/>
      <c r="G84" s="424"/>
      <c r="H84" s="424"/>
      <c r="I84" s="424"/>
      <c r="J84" s="424"/>
      <c r="K84" s="424"/>
      <c r="L84" s="418">
        <f t="shared" si="17"/>
        <v>118000</v>
      </c>
      <c r="M84" s="380"/>
    </row>
    <row r="85" spans="1:13" s="419" customFormat="1">
      <c r="A85" s="420"/>
      <c r="B85" s="421" t="s">
        <v>610</v>
      </c>
      <c r="C85" s="422" t="s">
        <v>611</v>
      </c>
      <c r="D85" s="423">
        <v>2100200227</v>
      </c>
      <c r="E85" s="424"/>
      <c r="F85" s="424"/>
      <c r="G85" s="424"/>
      <c r="H85" s="424"/>
      <c r="I85" s="424"/>
      <c r="J85" s="424"/>
      <c r="K85" s="424"/>
      <c r="L85" s="418">
        <f t="shared" si="17"/>
        <v>0</v>
      </c>
      <c r="M85" s="380"/>
    </row>
    <row r="86" spans="1:13" s="419" customFormat="1">
      <c r="A86" s="420"/>
      <c r="B86" s="425" t="s">
        <v>612</v>
      </c>
      <c r="C86" s="422" t="s">
        <v>613</v>
      </c>
      <c r="D86" s="423">
        <v>2100200230</v>
      </c>
      <c r="E86" s="424"/>
      <c r="F86" s="424"/>
      <c r="G86" s="424"/>
      <c r="H86" s="424"/>
      <c r="I86" s="424"/>
      <c r="J86" s="424"/>
      <c r="K86" s="424"/>
      <c r="L86" s="418">
        <f t="shared" si="17"/>
        <v>0</v>
      </c>
      <c r="M86" s="380"/>
    </row>
    <row r="87" spans="1:13" s="419" customFormat="1">
      <c r="A87" s="420"/>
      <c r="B87" s="421" t="s">
        <v>614</v>
      </c>
      <c r="C87" s="422" t="s">
        <v>615</v>
      </c>
      <c r="D87" s="423">
        <v>2100200232</v>
      </c>
      <c r="E87" s="424">
        <v>131000</v>
      </c>
      <c r="F87" s="424"/>
      <c r="G87" s="424"/>
      <c r="H87" s="424"/>
      <c r="I87" s="424"/>
      <c r="J87" s="424"/>
      <c r="K87" s="424"/>
      <c r="L87" s="418">
        <f t="shared" si="17"/>
        <v>131000</v>
      </c>
      <c r="M87" s="380"/>
    </row>
    <row r="88" spans="1:13" s="419" customFormat="1">
      <c r="A88" s="413"/>
      <c r="B88" s="442" t="s">
        <v>616</v>
      </c>
      <c r="C88" s="415" t="s">
        <v>617</v>
      </c>
      <c r="D88" s="416">
        <v>2100200235</v>
      </c>
      <c r="E88" s="417">
        <v>134960</v>
      </c>
      <c r="F88" s="417"/>
      <c r="G88" s="417"/>
      <c r="H88" s="417"/>
      <c r="I88" s="417"/>
      <c r="J88" s="417"/>
      <c r="K88" s="417"/>
      <c r="L88" s="418">
        <f t="shared" si="17"/>
        <v>134960</v>
      </c>
      <c r="M88" s="380"/>
    </row>
    <row r="89" spans="1:13" s="419" customFormat="1">
      <c r="A89" s="435"/>
      <c r="B89" s="436" t="s">
        <v>618</v>
      </c>
      <c r="C89" s="437" t="s">
        <v>619</v>
      </c>
      <c r="D89" s="438">
        <v>2100200237</v>
      </c>
      <c r="E89" s="439"/>
      <c r="F89" s="439"/>
      <c r="G89" s="439"/>
      <c r="H89" s="439"/>
      <c r="I89" s="439"/>
      <c r="J89" s="439"/>
      <c r="K89" s="439"/>
      <c r="L89" s="418">
        <f t="shared" si="17"/>
        <v>0</v>
      </c>
      <c r="M89" s="380"/>
    </row>
    <row r="90" spans="1:13" s="419" customFormat="1">
      <c r="A90" s="409" t="s">
        <v>620</v>
      </c>
      <c r="B90" s="441"/>
      <c r="C90" s="441"/>
      <c r="D90" s="228"/>
      <c r="E90" s="432">
        <f t="shared" ref="E90:K90" si="18">SUM(E91:E97)</f>
        <v>357370</v>
      </c>
      <c r="F90" s="432">
        <f t="shared" si="18"/>
        <v>20000</v>
      </c>
      <c r="G90" s="432">
        <f t="shared" si="18"/>
        <v>0</v>
      </c>
      <c r="H90" s="432">
        <f t="shared" si="18"/>
        <v>0</v>
      </c>
      <c r="I90" s="432">
        <f t="shared" si="18"/>
        <v>0</v>
      </c>
      <c r="J90" s="432">
        <f t="shared" si="18"/>
        <v>0</v>
      </c>
      <c r="K90" s="432">
        <f t="shared" si="18"/>
        <v>0</v>
      </c>
      <c r="L90" s="432">
        <f>SUM(L91:L97)</f>
        <v>377370</v>
      </c>
      <c r="M90" s="380"/>
    </row>
    <row r="91" spans="1:13" s="419" customFormat="1">
      <c r="A91" s="413"/>
      <c r="B91" s="414" t="s">
        <v>621</v>
      </c>
      <c r="C91" s="415" t="s">
        <v>622</v>
      </c>
      <c r="D91" s="416">
        <v>2100200239</v>
      </c>
      <c r="E91" s="417"/>
      <c r="F91" s="417"/>
      <c r="G91" s="417"/>
      <c r="H91" s="417"/>
      <c r="I91" s="417"/>
      <c r="J91" s="417"/>
      <c r="K91" s="417"/>
      <c r="L91" s="418">
        <f t="shared" ref="L91:L97" si="19">SUM(E91,F91,G91,H91,I91,J91,K91)</f>
        <v>0</v>
      </c>
      <c r="M91" s="380"/>
    </row>
    <row r="92" spans="1:13" s="419" customFormat="1">
      <c r="A92" s="420"/>
      <c r="B92" s="421" t="s">
        <v>623</v>
      </c>
      <c r="C92" s="422" t="s">
        <v>624</v>
      </c>
      <c r="D92" s="423">
        <v>2100200242</v>
      </c>
      <c r="E92" s="424">
        <v>112100</v>
      </c>
      <c r="F92" s="424"/>
      <c r="G92" s="424"/>
      <c r="H92" s="424"/>
      <c r="I92" s="424"/>
      <c r="J92" s="424"/>
      <c r="K92" s="424"/>
      <c r="L92" s="418">
        <f t="shared" si="19"/>
        <v>112100</v>
      </c>
      <c r="M92" s="380"/>
    </row>
    <row r="93" spans="1:13" s="419" customFormat="1">
      <c r="A93" s="420"/>
      <c r="B93" s="421" t="s">
        <v>625</v>
      </c>
      <c r="C93" s="422" t="s">
        <v>626</v>
      </c>
      <c r="D93" s="423">
        <v>2100200244</v>
      </c>
      <c r="E93" s="424"/>
      <c r="F93" s="424">
        <v>20000</v>
      </c>
      <c r="G93" s="424"/>
      <c r="H93" s="424"/>
      <c r="I93" s="424"/>
      <c r="J93" s="424"/>
      <c r="K93" s="424"/>
      <c r="L93" s="418">
        <f t="shared" si="19"/>
        <v>20000</v>
      </c>
      <c r="M93" s="380"/>
    </row>
    <row r="94" spans="1:13" s="419" customFormat="1">
      <c r="A94" s="420"/>
      <c r="B94" s="425" t="s">
        <v>627</v>
      </c>
      <c r="C94" s="422" t="s">
        <v>628</v>
      </c>
      <c r="D94" s="423">
        <v>2100200246</v>
      </c>
      <c r="E94" s="424"/>
      <c r="F94" s="424"/>
      <c r="G94" s="424"/>
      <c r="H94" s="424"/>
      <c r="I94" s="424"/>
      <c r="J94" s="424"/>
      <c r="K94" s="424"/>
      <c r="L94" s="418">
        <f t="shared" si="19"/>
        <v>0</v>
      </c>
      <c r="M94" s="380"/>
    </row>
    <row r="95" spans="1:13" s="419" customFormat="1">
      <c r="A95" s="420"/>
      <c r="B95" s="421" t="s">
        <v>629</v>
      </c>
      <c r="C95" s="422" t="s">
        <v>630</v>
      </c>
      <c r="D95" s="423">
        <v>2100200248</v>
      </c>
      <c r="E95" s="424"/>
      <c r="F95" s="424"/>
      <c r="G95" s="424"/>
      <c r="H95" s="424"/>
      <c r="I95" s="424"/>
      <c r="J95" s="424"/>
      <c r="K95" s="424"/>
      <c r="L95" s="418">
        <f t="shared" si="19"/>
        <v>0</v>
      </c>
      <c r="M95" s="380"/>
    </row>
    <row r="96" spans="1:13" s="419" customFormat="1">
      <c r="A96" s="420"/>
      <c r="B96" s="421" t="s">
        <v>631</v>
      </c>
      <c r="C96" s="422" t="s">
        <v>632</v>
      </c>
      <c r="D96" s="423">
        <v>2100200250</v>
      </c>
      <c r="E96" s="424">
        <v>82990</v>
      </c>
      <c r="F96" s="424"/>
      <c r="G96" s="424"/>
      <c r="H96" s="424"/>
      <c r="I96" s="424"/>
      <c r="J96" s="424"/>
      <c r="K96" s="424"/>
      <c r="L96" s="418">
        <f t="shared" si="19"/>
        <v>82990</v>
      </c>
      <c r="M96" s="380"/>
    </row>
    <row r="97" spans="1:14" s="419" customFormat="1">
      <c r="A97" s="435"/>
      <c r="B97" s="436" t="s">
        <v>633</v>
      </c>
      <c r="C97" s="437" t="s">
        <v>634</v>
      </c>
      <c r="D97" s="438">
        <v>2100200253</v>
      </c>
      <c r="E97" s="439">
        <v>162280</v>
      </c>
      <c r="F97" s="439"/>
      <c r="G97" s="439"/>
      <c r="H97" s="439"/>
      <c r="I97" s="439"/>
      <c r="J97" s="439"/>
      <c r="K97" s="439"/>
      <c r="L97" s="440">
        <f t="shared" si="19"/>
        <v>162280</v>
      </c>
      <c r="M97" s="380"/>
    </row>
    <row r="98" spans="1:14" s="419" customFormat="1">
      <c r="A98" s="443" t="s">
        <v>635</v>
      </c>
      <c r="B98" s="444"/>
      <c r="C98" s="444"/>
      <c r="D98" s="445"/>
      <c r="E98" s="446">
        <f>SUM(E99:E108)</f>
        <v>0</v>
      </c>
      <c r="F98" s="446">
        <f t="shared" ref="F98:K98" si="20">SUM(F99:F108)</f>
        <v>0</v>
      </c>
      <c r="G98" s="446">
        <f t="shared" si="20"/>
        <v>600000</v>
      </c>
      <c r="H98" s="446">
        <f t="shared" si="20"/>
        <v>0</v>
      </c>
      <c r="I98" s="446">
        <f t="shared" si="20"/>
        <v>0</v>
      </c>
      <c r="J98" s="446">
        <f t="shared" si="20"/>
        <v>0</v>
      </c>
      <c r="K98" s="446">
        <f t="shared" si="20"/>
        <v>0</v>
      </c>
      <c r="L98" s="418">
        <f t="shared" ref="L98:L108" si="21">SUM(E98,F98,G98,I98,J98,K98)</f>
        <v>600000</v>
      </c>
      <c r="M98" s="380"/>
    </row>
    <row r="99" spans="1:14" s="419" customFormat="1">
      <c r="A99" s="447"/>
      <c r="B99" s="448" t="s">
        <v>636</v>
      </c>
      <c r="C99" s="449" t="s">
        <v>637</v>
      </c>
      <c r="D99" s="450">
        <v>2100200000</v>
      </c>
      <c r="E99" s="451">
        <v>0</v>
      </c>
      <c r="F99" s="451">
        <v>0</v>
      </c>
      <c r="G99" s="452">
        <v>600000</v>
      </c>
      <c r="H99" s="451"/>
      <c r="I99" s="451"/>
      <c r="J99" s="451"/>
      <c r="K99" s="451"/>
      <c r="L99" s="418">
        <f t="shared" si="21"/>
        <v>600000</v>
      </c>
      <c r="M99" s="380"/>
    </row>
    <row r="100" spans="1:14" s="419" customFormat="1" hidden="1">
      <c r="A100" s="413"/>
      <c r="B100" s="453" t="s">
        <v>638</v>
      </c>
      <c r="C100" s="454" t="s">
        <v>520</v>
      </c>
      <c r="D100" s="416">
        <v>2100200090</v>
      </c>
      <c r="E100" s="417">
        <v>0</v>
      </c>
      <c r="F100" s="417">
        <v>0</v>
      </c>
      <c r="G100" s="417"/>
      <c r="H100" s="417"/>
      <c r="I100" s="417">
        <v>0</v>
      </c>
      <c r="J100" s="417">
        <v>0</v>
      </c>
      <c r="K100" s="417">
        <v>0</v>
      </c>
      <c r="L100" s="418">
        <f t="shared" si="21"/>
        <v>0</v>
      </c>
      <c r="M100" s="380"/>
    </row>
    <row r="101" spans="1:14" s="419" customFormat="1" hidden="1">
      <c r="A101" s="420"/>
      <c r="B101" s="455" t="s">
        <v>639</v>
      </c>
      <c r="C101" s="422" t="s">
        <v>501</v>
      </c>
      <c r="D101" s="423">
        <v>2100200095</v>
      </c>
      <c r="E101" s="424">
        <v>0</v>
      </c>
      <c r="F101" s="424">
        <v>0</v>
      </c>
      <c r="G101" s="424"/>
      <c r="H101" s="424"/>
      <c r="I101" s="424">
        <v>0</v>
      </c>
      <c r="J101" s="424">
        <v>0</v>
      </c>
      <c r="K101" s="424">
        <v>0</v>
      </c>
      <c r="L101" s="418">
        <f t="shared" si="21"/>
        <v>0</v>
      </c>
      <c r="M101" s="380"/>
    </row>
    <row r="102" spans="1:14" s="419" customFormat="1" hidden="1">
      <c r="A102" s="420"/>
      <c r="B102" s="455" t="s">
        <v>640</v>
      </c>
      <c r="C102" s="422" t="s">
        <v>600</v>
      </c>
      <c r="D102" s="423">
        <v>2100200126</v>
      </c>
      <c r="E102" s="424">
        <v>0</v>
      </c>
      <c r="F102" s="424">
        <v>0</v>
      </c>
      <c r="G102" s="424"/>
      <c r="H102" s="424"/>
      <c r="I102" s="424">
        <v>0</v>
      </c>
      <c r="J102" s="424">
        <v>0</v>
      </c>
      <c r="K102" s="424">
        <v>0</v>
      </c>
      <c r="L102" s="418">
        <f t="shared" si="21"/>
        <v>0</v>
      </c>
      <c r="M102" s="380"/>
    </row>
    <row r="103" spans="1:14" s="419" customFormat="1" hidden="1">
      <c r="A103" s="420"/>
      <c r="B103" s="455" t="s">
        <v>641</v>
      </c>
      <c r="C103" s="456" t="s">
        <v>569</v>
      </c>
      <c r="D103" s="423">
        <v>2100200147</v>
      </c>
      <c r="E103" s="424">
        <v>0</v>
      </c>
      <c r="F103" s="424">
        <v>0</v>
      </c>
      <c r="G103" s="424"/>
      <c r="H103" s="424"/>
      <c r="I103" s="424">
        <v>0</v>
      </c>
      <c r="J103" s="424">
        <v>0</v>
      </c>
      <c r="K103" s="424">
        <v>0</v>
      </c>
      <c r="L103" s="418">
        <f t="shared" si="21"/>
        <v>0</v>
      </c>
      <c r="M103" s="380"/>
    </row>
    <row r="104" spans="1:14" s="419" customFormat="1" hidden="1">
      <c r="A104" s="420"/>
      <c r="B104" s="455" t="s">
        <v>642</v>
      </c>
      <c r="C104" s="456" t="s">
        <v>582</v>
      </c>
      <c r="D104" s="423">
        <v>2100200149</v>
      </c>
      <c r="E104" s="424">
        <v>0</v>
      </c>
      <c r="F104" s="424">
        <v>0</v>
      </c>
      <c r="G104" s="424"/>
      <c r="H104" s="424"/>
      <c r="I104" s="424">
        <v>0</v>
      </c>
      <c r="J104" s="424">
        <v>0</v>
      </c>
      <c r="K104" s="424">
        <v>0</v>
      </c>
      <c r="L104" s="418">
        <f t="shared" si="21"/>
        <v>0</v>
      </c>
      <c r="M104" s="380"/>
    </row>
    <row r="105" spans="1:14" s="419" customFormat="1" hidden="1">
      <c r="A105" s="420"/>
      <c r="B105" s="457" t="s">
        <v>643</v>
      </c>
      <c r="C105" s="458" t="s">
        <v>492</v>
      </c>
      <c r="D105" s="423">
        <v>2100200180</v>
      </c>
      <c r="E105" s="424">
        <v>0</v>
      </c>
      <c r="F105" s="424">
        <v>0</v>
      </c>
      <c r="G105" s="424"/>
      <c r="H105" s="424"/>
      <c r="I105" s="424">
        <v>0</v>
      </c>
      <c r="J105" s="424">
        <v>0</v>
      </c>
      <c r="K105" s="424">
        <v>0</v>
      </c>
      <c r="L105" s="418">
        <f t="shared" si="21"/>
        <v>0</v>
      </c>
      <c r="M105" s="380"/>
    </row>
    <row r="106" spans="1:14" s="419" customFormat="1" hidden="1">
      <c r="A106" s="420"/>
      <c r="B106" s="455" t="s">
        <v>644</v>
      </c>
      <c r="C106" s="422" t="s">
        <v>494</v>
      </c>
      <c r="D106" s="423">
        <v>2100200184</v>
      </c>
      <c r="E106" s="424">
        <v>0</v>
      </c>
      <c r="F106" s="424">
        <v>0</v>
      </c>
      <c r="G106" s="424"/>
      <c r="H106" s="424"/>
      <c r="I106" s="424">
        <v>0</v>
      </c>
      <c r="J106" s="424">
        <v>0</v>
      </c>
      <c r="K106" s="424">
        <v>0</v>
      </c>
      <c r="L106" s="418">
        <f t="shared" si="21"/>
        <v>0</v>
      </c>
      <c r="M106" s="380"/>
    </row>
    <row r="107" spans="1:14" s="419" customFormat="1" hidden="1">
      <c r="A107" s="420"/>
      <c r="B107" s="459" t="s">
        <v>645</v>
      </c>
      <c r="C107" s="422" t="s">
        <v>630</v>
      </c>
      <c r="D107" s="423">
        <v>2100200249</v>
      </c>
      <c r="E107" s="424">
        <v>0</v>
      </c>
      <c r="F107" s="424">
        <v>0</v>
      </c>
      <c r="G107" s="424"/>
      <c r="H107" s="424"/>
      <c r="I107" s="424">
        <v>0</v>
      </c>
      <c r="J107" s="424">
        <v>0</v>
      </c>
      <c r="K107" s="424">
        <v>0</v>
      </c>
      <c r="L107" s="418">
        <f t="shared" si="21"/>
        <v>0</v>
      </c>
      <c r="M107" s="380"/>
    </row>
    <row r="108" spans="1:14" s="419" customFormat="1" hidden="1">
      <c r="A108" s="435"/>
      <c r="B108" s="460" t="s">
        <v>646</v>
      </c>
      <c r="C108" s="437" t="s">
        <v>632</v>
      </c>
      <c r="D108" s="438">
        <v>2100200251</v>
      </c>
      <c r="E108" s="439">
        <v>0</v>
      </c>
      <c r="F108" s="439">
        <v>0</v>
      </c>
      <c r="G108" s="439"/>
      <c r="H108" s="439"/>
      <c r="I108" s="439">
        <v>0</v>
      </c>
      <c r="J108" s="439">
        <v>0</v>
      </c>
      <c r="K108" s="439">
        <v>0</v>
      </c>
      <c r="L108" s="418">
        <f t="shared" si="21"/>
        <v>0</v>
      </c>
      <c r="M108" s="380"/>
    </row>
    <row r="109" spans="1:14">
      <c r="N109" s="419"/>
    </row>
  </sheetData>
  <mergeCells count="8">
    <mergeCell ref="E5:F5"/>
    <mergeCell ref="L5:L7"/>
    <mergeCell ref="E7:F7"/>
    <mergeCell ref="A8:B8"/>
    <mergeCell ref="A9:B9"/>
    <mergeCell ref="A5:B7"/>
    <mergeCell ref="C5:C7"/>
    <mergeCell ref="D5:D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G12" sqref="G12"/>
    </sheetView>
  </sheetViews>
  <sheetFormatPr defaultRowHeight="21"/>
  <cols>
    <col min="1" max="1" width="31" style="17" customWidth="1"/>
    <col min="2" max="2" width="19" style="17" customWidth="1"/>
    <col min="3" max="3" width="14.625" style="17" customWidth="1"/>
    <col min="4" max="7" width="13.125" style="17" customWidth="1"/>
    <col min="8" max="8" width="13.375" style="485" customWidth="1"/>
    <col min="9" max="9" width="10.75" style="17" customWidth="1"/>
    <col min="10" max="10" width="9.625" style="17" bestFit="1" customWidth="1"/>
    <col min="11" max="256" width="9" style="17"/>
    <col min="257" max="257" width="31" style="17" customWidth="1"/>
    <col min="258" max="258" width="19" style="17" customWidth="1"/>
    <col min="259" max="259" width="14.625" style="17" customWidth="1"/>
    <col min="260" max="263" width="13.125" style="17" customWidth="1"/>
    <col min="264" max="264" width="13.375" style="17" customWidth="1"/>
    <col min="265" max="265" width="10.75" style="17" customWidth="1"/>
    <col min="266" max="266" width="9.625" style="17" bestFit="1" customWidth="1"/>
    <col min="267" max="512" width="9" style="17"/>
    <col min="513" max="513" width="31" style="17" customWidth="1"/>
    <col min="514" max="514" width="19" style="17" customWidth="1"/>
    <col min="515" max="515" width="14.625" style="17" customWidth="1"/>
    <col min="516" max="519" width="13.125" style="17" customWidth="1"/>
    <col min="520" max="520" width="13.375" style="17" customWidth="1"/>
    <col min="521" max="521" width="10.75" style="17" customWidth="1"/>
    <col min="522" max="522" width="9.625" style="17" bestFit="1" customWidth="1"/>
    <col min="523" max="768" width="9" style="17"/>
    <col min="769" max="769" width="31" style="17" customWidth="1"/>
    <col min="770" max="770" width="19" style="17" customWidth="1"/>
    <col min="771" max="771" width="14.625" style="17" customWidth="1"/>
    <col min="772" max="775" width="13.125" style="17" customWidth="1"/>
    <col min="776" max="776" width="13.375" style="17" customWidth="1"/>
    <col min="777" max="777" width="10.75" style="17" customWidth="1"/>
    <col min="778" max="778" width="9.625" style="17" bestFit="1" customWidth="1"/>
    <col min="779" max="1024" width="9" style="17"/>
    <col min="1025" max="1025" width="31" style="17" customWidth="1"/>
    <col min="1026" max="1026" width="19" style="17" customWidth="1"/>
    <col min="1027" max="1027" width="14.625" style="17" customWidth="1"/>
    <col min="1028" max="1031" width="13.125" style="17" customWidth="1"/>
    <col min="1032" max="1032" width="13.375" style="17" customWidth="1"/>
    <col min="1033" max="1033" width="10.75" style="17" customWidth="1"/>
    <col min="1034" max="1034" width="9.625" style="17" bestFit="1" customWidth="1"/>
    <col min="1035" max="1280" width="9" style="17"/>
    <col min="1281" max="1281" width="31" style="17" customWidth="1"/>
    <col min="1282" max="1282" width="19" style="17" customWidth="1"/>
    <col min="1283" max="1283" width="14.625" style="17" customWidth="1"/>
    <col min="1284" max="1287" width="13.125" style="17" customWidth="1"/>
    <col min="1288" max="1288" width="13.375" style="17" customWidth="1"/>
    <col min="1289" max="1289" width="10.75" style="17" customWidth="1"/>
    <col min="1290" max="1290" width="9.625" style="17" bestFit="1" customWidth="1"/>
    <col min="1291" max="1536" width="9" style="17"/>
    <col min="1537" max="1537" width="31" style="17" customWidth="1"/>
    <col min="1538" max="1538" width="19" style="17" customWidth="1"/>
    <col min="1539" max="1539" width="14.625" style="17" customWidth="1"/>
    <col min="1540" max="1543" width="13.125" style="17" customWidth="1"/>
    <col min="1544" max="1544" width="13.375" style="17" customWidth="1"/>
    <col min="1545" max="1545" width="10.75" style="17" customWidth="1"/>
    <col min="1546" max="1546" width="9.625" style="17" bestFit="1" customWidth="1"/>
    <col min="1547" max="1792" width="9" style="17"/>
    <col min="1793" max="1793" width="31" style="17" customWidth="1"/>
    <col min="1794" max="1794" width="19" style="17" customWidth="1"/>
    <col min="1795" max="1795" width="14.625" style="17" customWidth="1"/>
    <col min="1796" max="1799" width="13.125" style="17" customWidth="1"/>
    <col min="1800" max="1800" width="13.375" style="17" customWidth="1"/>
    <col min="1801" max="1801" width="10.75" style="17" customWidth="1"/>
    <col min="1802" max="1802" width="9.625" style="17" bestFit="1" customWidth="1"/>
    <col min="1803" max="2048" width="9" style="17"/>
    <col min="2049" max="2049" width="31" style="17" customWidth="1"/>
    <col min="2050" max="2050" width="19" style="17" customWidth="1"/>
    <col min="2051" max="2051" width="14.625" style="17" customWidth="1"/>
    <col min="2052" max="2055" width="13.125" style="17" customWidth="1"/>
    <col min="2056" max="2056" width="13.375" style="17" customWidth="1"/>
    <col min="2057" max="2057" width="10.75" style="17" customWidth="1"/>
    <col min="2058" max="2058" width="9.625" style="17" bestFit="1" customWidth="1"/>
    <col min="2059" max="2304" width="9" style="17"/>
    <col min="2305" max="2305" width="31" style="17" customWidth="1"/>
    <col min="2306" max="2306" width="19" style="17" customWidth="1"/>
    <col min="2307" max="2307" width="14.625" style="17" customWidth="1"/>
    <col min="2308" max="2311" width="13.125" style="17" customWidth="1"/>
    <col min="2312" max="2312" width="13.375" style="17" customWidth="1"/>
    <col min="2313" max="2313" width="10.75" style="17" customWidth="1"/>
    <col min="2314" max="2314" width="9.625" style="17" bestFit="1" customWidth="1"/>
    <col min="2315" max="2560" width="9" style="17"/>
    <col min="2561" max="2561" width="31" style="17" customWidth="1"/>
    <col min="2562" max="2562" width="19" style="17" customWidth="1"/>
    <col min="2563" max="2563" width="14.625" style="17" customWidth="1"/>
    <col min="2564" max="2567" width="13.125" style="17" customWidth="1"/>
    <col min="2568" max="2568" width="13.375" style="17" customWidth="1"/>
    <col min="2569" max="2569" width="10.75" style="17" customWidth="1"/>
    <col min="2570" max="2570" width="9.625" style="17" bestFit="1" customWidth="1"/>
    <col min="2571" max="2816" width="9" style="17"/>
    <col min="2817" max="2817" width="31" style="17" customWidth="1"/>
    <col min="2818" max="2818" width="19" style="17" customWidth="1"/>
    <col min="2819" max="2819" width="14.625" style="17" customWidth="1"/>
    <col min="2820" max="2823" width="13.125" style="17" customWidth="1"/>
    <col min="2824" max="2824" width="13.375" style="17" customWidth="1"/>
    <col min="2825" max="2825" width="10.75" style="17" customWidth="1"/>
    <col min="2826" max="2826" width="9.625" style="17" bestFit="1" customWidth="1"/>
    <col min="2827" max="3072" width="9" style="17"/>
    <col min="3073" max="3073" width="31" style="17" customWidth="1"/>
    <col min="3074" max="3074" width="19" style="17" customWidth="1"/>
    <col min="3075" max="3075" width="14.625" style="17" customWidth="1"/>
    <col min="3076" max="3079" width="13.125" style="17" customWidth="1"/>
    <col min="3080" max="3080" width="13.375" style="17" customWidth="1"/>
    <col min="3081" max="3081" width="10.75" style="17" customWidth="1"/>
    <col min="3082" max="3082" width="9.625" style="17" bestFit="1" customWidth="1"/>
    <col min="3083" max="3328" width="9" style="17"/>
    <col min="3329" max="3329" width="31" style="17" customWidth="1"/>
    <col min="3330" max="3330" width="19" style="17" customWidth="1"/>
    <col min="3331" max="3331" width="14.625" style="17" customWidth="1"/>
    <col min="3332" max="3335" width="13.125" style="17" customWidth="1"/>
    <col min="3336" max="3336" width="13.375" style="17" customWidth="1"/>
    <col min="3337" max="3337" width="10.75" style="17" customWidth="1"/>
    <col min="3338" max="3338" width="9.625" style="17" bestFit="1" customWidth="1"/>
    <col min="3339" max="3584" width="9" style="17"/>
    <col min="3585" max="3585" width="31" style="17" customWidth="1"/>
    <col min="3586" max="3586" width="19" style="17" customWidth="1"/>
    <col min="3587" max="3587" width="14.625" style="17" customWidth="1"/>
    <col min="3588" max="3591" width="13.125" style="17" customWidth="1"/>
    <col min="3592" max="3592" width="13.375" style="17" customWidth="1"/>
    <col min="3593" max="3593" width="10.75" style="17" customWidth="1"/>
    <col min="3594" max="3594" width="9.625" style="17" bestFit="1" customWidth="1"/>
    <col min="3595" max="3840" width="9" style="17"/>
    <col min="3841" max="3841" width="31" style="17" customWidth="1"/>
    <col min="3842" max="3842" width="19" style="17" customWidth="1"/>
    <col min="3843" max="3843" width="14.625" style="17" customWidth="1"/>
    <col min="3844" max="3847" width="13.125" style="17" customWidth="1"/>
    <col min="3848" max="3848" width="13.375" style="17" customWidth="1"/>
    <col min="3849" max="3849" width="10.75" style="17" customWidth="1"/>
    <col min="3850" max="3850" width="9.625" style="17" bestFit="1" customWidth="1"/>
    <col min="3851" max="4096" width="9" style="17"/>
    <col min="4097" max="4097" width="31" style="17" customWidth="1"/>
    <col min="4098" max="4098" width="19" style="17" customWidth="1"/>
    <col min="4099" max="4099" width="14.625" style="17" customWidth="1"/>
    <col min="4100" max="4103" width="13.125" style="17" customWidth="1"/>
    <col min="4104" max="4104" width="13.375" style="17" customWidth="1"/>
    <col min="4105" max="4105" width="10.75" style="17" customWidth="1"/>
    <col min="4106" max="4106" width="9.625" style="17" bestFit="1" customWidth="1"/>
    <col min="4107" max="4352" width="9" style="17"/>
    <col min="4353" max="4353" width="31" style="17" customWidth="1"/>
    <col min="4354" max="4354" width="19" style="17" customWidth="1"/>
    <col min="4355" max="4355" width="14.625" style="17" customWidth="1"/>
    <col min="4356" max="4359" width="13.125" style="17" customWidth="1"/>
    <col min="4360" max="4360" width="13.375" style="17" customWidth="1"/>
    <col min="4361" max="4361" width="10.75" style="17" customWidth="1"/>
    <col min="4362" max="4362" width="9.625" style="17" bestFit="1" customWidth="1"/>
    <col min="4363" max="4608" width="9" style="17"/>
    <col min="4609" max="4609" width="31" style="17" customWidth="1"/>
    <col min="4610" max="4610" width="19" style="17" customWidth="1"/>
    <col min="4611" max="4611" width="14.625" style="17" customWidth="1"/>
    <col min="4612" max="4615" width="13.125" style="17" customWidth="1"/>
    <col min="4616" max="4616" width="13.375" style="17" customWidth="1"/>
    <col min="4617" max="4617" width="10.75" style="17" customWidth="1"/>
    <col min="4618" max="4618" width="9.625" style="17" bestFit="1" customWidth="1"/>
    <col min="4619" max="4864" width="9" style="17"/>
    <col min="4865" max="4865" width="31" style="17" customWidth="1"/>
    <col min="4866" max="4866" width="19" style="17" customWidth="1"/>
    <col min="4867" max="4867" width="14.625" style="17" customWidth="1"/>
    <col min="4868" max="4871" width="13.125" style="17" customWidth="1"/>
    <col min="4872" max="4872" width="13.375" style="17" customWidth="1"/>
    <col min="4873" max="4873" width="10.75" style="17" customWidth="1"/>
    <col min="4874" max="4874" width="9.625" style="17" bestFit="1" customWidth="1"/>
    <col min="4875" max="5120" width="9" style="17"/>
    <col min="5121" max="5121" width="31" style="17" customWidth="1"/>
    <col min="5122" max="5122" width="19" style="17" customWidth="1"/>
    <col min="5123" max="5123" width="14.625" style="17" customWidth="1"/>
    <col min="5124" max="5127" width="13.125" style="17" customWidth="1"/>
    <col min="5128" max="5128" width="13.375" style="17" customWidth="1"/>
    <col min="5129" max="5129" width="10.75" style="17" customWidth="1"/>
    <col min="5130" max="5130" width="9.625" style="17" bestFit="1" customWidth="1"/>
    <col min="5131" max="5376" width="9" style="17"/>
    <col min="5377" max="5377" width="31" style="17" customWidth="1"/>
    <col min="5378" max="5378" width="19" style="17" customWidth="1"/>
    <col min="5379" max="5379" width="14.625" style="17" customWidth="1"/>
    <col min="5380" max="5383" width="13.125" style="17" customWidth="1"/>
    <col min="5384" max="5384" width="13.375" style="17" customWidth="1"/>
    <col min="5385" max="5385" width="10.75" style="17" customWidth="1"/>
    <col min="5386" max="5386" width="9.625" style="17" bestFit="1" customWidth="1"/>
    <col min="5387" max="5632" width="9" style="17"/>
    <col min="5633" max="5633" width="31" style="17" customWidth="1"/>
    <col min="5634" max="5634" width="19" style="17" customWidth="1"/>
    <col min="5635" max="5635" width="14.625" style="17" customWidth="1"/>
    <col min="5636" max="5639" width="13.125" style="17" customWidth="1"/>
    <col min="5640" max="5640" width="13.375" style="17" customWidth="1"/>
    <col min="5641" max="5641" width="10.75" style="17" customWidth="1"/>
    <col min="5642" max="5642" width="9.625" style="17" bestFit="1" customWidth="1"/>
    <col min="5643" max="5888" width="9" style="17"/>
    <col min="5889" max="5889" width="31" style="17" customWidth="1"/>
    <col min="5890" max="5890" width="19" style="17" customWidth="1"/>
    <col min="5891" max="5891" width="14.625" style="17" customWidth="1"/>
    <col min="5892" max="5895" width="13.125" style="17" customWidth="1"/>
    <col min="5896" max="5896" width="13.375" style="17" customWidth="1"/>
    <col min="5897" max="5897" width="10.75" style="17" customWidth="1"/>
    <col min="5898" max="5898" width="9.625" style="17" bestFit="1" customWidth="1"/>
    <col min="5899" max="6144" width="9" style="17"/>
    <col min="6145" max="6145" width="31" style="17" customWidth="1"/>
    <col min="6146" max="6146" width="19" style="17" customWidth="1"/>
    <col min="6147" max="6147" width="14.625" style="17" customWidth="1"/>
    <col min="6148" max="6151" width="13.125" style="17" customWidth="1"/>
    <col min="6152" max="6152" width="13.375" style="17" customWidth="1"/>
    <col min="6153" max="6153" width="10.75" style="17" customWidth="1"/>
    <col min="6154" max="6154" width="9.625" style="17" bestFit="1" customWidth="1"/>
    <col min="6155" max="6400" width="9" style="17"/>
    <col min="6401" max="6401" width="31" style="17" customWidth="1"/>
    <col min="6402" max="6402" width="19" style="17" customWidth="1"/>
    <col min="6403" max="6403" width="14.625" style="17" customWidth="1"/>
    <col min="6404" max="6407" width="13.125" style="17" customWidth="1"/>
    <col min="6408" max="6408" width="13.375" style="17" customWidth="1"/>
    <col min="6409" max="6409" width="10.75" style="17" customWidth="1"/>
    <col min="6410" max="6410" width="9.625" style="17" bestFit="1" customWidth="1"/>
    <col min="6411" max="6656" width="9" style="17"/>
    <col min="6657" max="6657" width="31" style="17" customWidth="1"/>
    <col min="6658" max="6658" width="19" style="17" customWidth="1"/>
    <col min="6659" max="6659" width="14.625" style="17" customWidth="1"/>
    <col min="6660" max="6663" width="13.125" style="17" customWidth="1"/>
    <col min="6664" max="6664" width="13.375" style="17" customWidth="1"/>
    <col min="6665" max="6665" width="10.75" style="17" customWidth="1"/>
    <col min="6666" max="6666" width="9.625" style="17" bestFit="1" customWidth="1"/>
    <col min="6667" max="6912" width="9" style="17"/>
    <col min="6913" max="6913" width="31" style="17" customWidth="1"/>
    <col min="6914" max="6914" width="19" style="17" customWidth="1"/>
    <col min="6915" max="6915" width="14.625" style="17" customWidth="1"/>
    <col min="6916" max="6919" width="13.125" style="17" customWidth="1"/>
    <col min="6920" max="6920" width="13.375" style="17" customWidth="1"/>
    <col min="6921" max="6921" width="10.75" style="17" customWidth="1"/>
    <col min="6922" max="6922" width="9.625" style="17" bestFit="1" customWidth="1"/>
    <col min="6923" max="7168" width="9" style="17"/>
    <col min="7169" max="7169" width="31" style="17" customWidth="1"/>
    <col min="7170" max="7170" width="19" style="17" customWidth="1"/>
    <col min="7171" max="7171" width="14.625" style="17" customWidth="1"/>
    <col min="7172" max="7175" width="13.125" style="17" customWidth="1"/>
    <col min="7176" max="7176" width="13.375" style="17" customWidth="1"/>
    <col min="7177" max="7177" width="10.75" style="17" customWidth="1"/>
    <col min="7178" max="7178" width="9.625" style="17" bestFit="1" customWidth="1"/>
    <col min="7179" max="7424" width="9" style="17"/>
    <col min="7425" max="7425" width="31" style="17" customWidth="1"/>
    <col min="7426" max="7426" width="19" style="17" customWidth="1"/>
    <col min="7427" max="7427" width="14.625" style="17" customWidth="1"/>
    <col min="7428" max="7431" width="13.125" style="17" customWidth="1"/>
    <col min="7432" max="7432" width="13.375" style="17" customWidth="1"/>
    <col min="7433" max="7433" width="10.75" style="17" customWidth="1"/>
    <col min="7434" max="7434" width="9.625" style="17" bestFit="1" customWidth="1"/>
    <col min="7435" max="7680" width="9" style="17"/>
    <col min="7681" max="7681" width="31" style="17" customWidth="1"/>
    <col min="7682" max="7682" width="19" style="17" customWidth="1"/>
    <col min="7683" max="7683" width="14.625" style="17" customWidth="1"/>
    <col min="7684" max="7687" width="13.125" style="17" customWidth="1"/>
    <col min="7688" max="7688" width="13.375" style="17" customWidth="1"/>
    <col min="7689" max="7689" width="10.75" style="17" customWidth="1"/>
    <col min="7690" max="7690" width="9.625" style="17" bestFit="1" customWidth="1"/>
    <col min="7691" max="7936" width="9" style="17"/>
    <col min="7937" max="7937" width="31" style="17" customWidth="1"/>
    <col min="7938" max="7938" width="19" style="17" customWidth="1"/>
    <col min="7939" max="7939" width="14.625" style="17" customWidth="1"/>
    <col min="7940" max="7943" width="13.125" style="17" customWidth="1"/>
    <col min="7944" max="7944" width="13.375" style="17" customWidth="1"/>
    <col min="7945" max="7945" width="10.75" style="17" customWidth="1"/>
    <col min="7946" max="7946" width="9.625" style="17" bestFit="1" customWidth="1"/>
    <col min="7947" max="8192" width="9" style="17"/>
    <col min="8193" max="8193" width="31" style="17" customWidth="1"/>
    <col min="8194" max="8194" width="19" style="17" customWidth="1"/>
    <col min="8195" max="8195" width="14.625" style="17" customWidth="1"/>
    <col min="8196" max="8199" width="13.125" style="17" customWidth="1"/>
    <col min="8200" max="8200" width="13.375" style="17" customWidth="1"/>
    <col min="8201" max="8201" width="10.75" style="17" customWidth="1"/>
    <col min="8202" max="8202" width="9.625" style="17" bestFit="1" customWidth="1"/>
    <col min="8203" max="8448" width="9" style="17"/>
    <col min="8449" max="8449" width="31" style="17" customWidth="1"/>
    <col min="8450" max="8450" width="19" style="17" customWidth="1"/>
    <col min="8451" max="8451" width="14.625" style="17" customWidth="1"/>
    <col min="8452" max="8455" width="13.125" style="17" customWidth="1"/>
    <col min="8456" max="8456" width="13.375" style="17" customWidth="1"/>
    <col min="8457" max="8457" width="10.75" style="17" customWidth="1"/>
    <col min="8458" max="8458" width="9.625" style="17" bestFit="1" customWidth="1"/>
    <col min="8459" max="8704" width="9" style="17"/>
    <col min="8705" max="8705" width="31" style="17" customWidth="1"/>
    <col min="8706" max="8706" width="19" style="17" customWidth="1"/>
    <col min="8707" max="8707" width="14.625" style="17" customWidth="1"/>
    <col min="8708" max="8711" width="13.125" style="17" customWidth="1"/>
    <col min="8712" max="8712" width="13.375" style="17" customWidth="1"/>
    <col min="8713" max="8713" width="10.75" style="17" customWidth="1"/>
    <col min="8714" max="8714" width="9.625" style="17" bestFit="1" customWidth="1"/>
    <col min="8715" max="8960" width="9" style="17"/>
    <col min="8961" max="8961" width="31" style="17" customWidth="1"/>
    <col min="8962" max="8962" width="19" style="17" customWidth="1"/>
    <col min="8963" max="8963" width="14.625" style="17" customWidth="1"/>
    <col min="8964" max="8967" width="13.125" style="17" customWidth="1"/>
    <col min="8968" max="8968" width="13.375" style="17" customWidth="1"/>
    <col min="8969" max="8969" width="10.75" style="17" customWidth="1"/>
    <col min="8970" max="8970" width="9.625" style="17" bestFit="1" customWidth="1"/>
    <col min="8971" max="9216" width="9" style="17"/>
    <col min="9217" max="9217" width="31" style="17" customWidth="1"/>
    <col min="9218" max="9218" width="19" style="17" customWidth="1"/>
    <col min="9219" max="9219" width="14.625" style="17" customWidth="1"/>
    <col min="9220" max="9223" width="13.125" style="17" customWidth="1"/>
    <col min="9224" max="9224" width="13.375" style="17" customWidth="1"/>
    <col min="9225" max="9225" width="10.75" style="17" customWidth="1"/>
    <col min="9226" max="9226" width="9.625" style="17" bestFit="1" customWidth="1"/>
    <col min="9227" max="9472" width="9" style="17"/>
    <col min="9473" max="9473" width="31" style="17" customWidth="1"/>
    <col min="9474" max="9474" width="19" style="17" customWidth="1"/>
    <col min="9475" max="9475" width="14.625" style="17" customWidth="1"/>
    <col min="9476" max="9479" width="13.125" style="17" customWidth="1"/>
    <col min="9480" max="9480" width="13.375" style="17" customWidth="1"/>
    <col min="9481" max="9481" width="10.75" style="17" customWidth="1"/>
    <col min="9482" max="9482" width="9.625" style="17" bestFit="1" customWidth="1"/>
    <col min="9483" max="9728" width="9" style="17"/>
    <col min="9729" max="9729" width="31" style="17" customWidth="1"/>
    <col min="9730" max="9730" width="19" style="17" customWidth="1"/>
    <col min="9731" max="9731" width="14.625" style="17" customWidth="1"/>
    <col min="9732" max="9735" width="13.125" style="17" customWidth="1"/>
    <col min="9736" max="9736" width="13.375" style="17" customWidth="1"/>
    <col min="9737" max="9737" width="10.75" style="17" customWidth="1"/>
    <col min="9738" max="9738" width="9.625" style="17" bestFit="1" customWidth="1"/>
    <col min="9739" max="9984" width="9" style="17"/>
    <col min="9985" max="9985" width="31" style="17" customWidth="1"/>
    <col min="9986" max="9986" width="19" style="17" customWidth="1"/>
    <col min="9987" max="9987" width="14.625" style="17" customWidth="1"/>
    <col min="9988" max="9991" width="13.125" style="17" customWidth="1"/>
    <col min="9992" max="9992" width="13.375" style="17" customWidth="1"/>
    <col min="9993" max="9993" width="10.75" style="17" customWidth="1"/>
    <col min="9994" max="9994" width="9.625" style="17" bestFit="1" customWidth="1"/>
    <col min="9995" max="10240" width="9" style="17"/>
    <col min="10241" max="10241" width="31" style="17" customWidth="1"/>
    <col min="10242" max="10242" width="19" style="17" customWidth="1"/>
    <col min="10243" max="10243" width="14.625" style="17" customWidth="1"/>
    <col min="10244" max="10247" width="13.125" style="17" customWidth="1"/>
    <col min="10248" max="10248" width="13.375" style="17" customWidth="1"/>
    <col min="10249" max="10249" width="10.75" style="17" customWidth="1"/>
    <col min="10250" max="10250" width="9.625" style="17" bestFit="1" customWidth="1"/>
    <col min="10251" max="10496" width="9" style="17"/>
    <col min="10497" max="10497" width="31" style="17" customWidth="1"/>
    <col min="10498" max="10498" width="19" style="17" customWidth="1"/>
    <col min="10499" max="10499" width="14.625" style="17" customWidth="1"/>
    <col min="10500" max="10503" width="13.125" style="17" customWidth="1"/>
    <col min="10504" max="10504" width="13.375" style="17" customWidth="1"/>
    <col min="10505" max="10505" width="10.75" style="17" customWidth="1"/>
    <col min="10506" max="10506" width="9.625" style="17" bestFit="1" customWidth="1"/>
    <col min="10507" max="10752" width="9" style="17"/>
    <col min="10753" max="10753" width="31" style="17" customWidth="1"/>
    <col min="10754" max="10754" width="19" style="17" customWidth="1"/>
    <col min="10755" max="10755" width="14.625" style="17" customWidth="1"/>
    <col min="10756" max="10759" width="13.125" style="17" customWidth="1"/>
    <col min="10760" max="10760" width="13.375" style="17" customWidth="1"/>
    <col min="10761" max="10761" width="10.75" style="17" customWidth="1"/>
    <col min="10762" max="10762" width="9.625" style="17" bestFit="1" customWidth="1"/>
    <col min="10763" max="11008" width="9" style="17"/>
    <col min="11009" max="11009" width="31" style="17" customWidth="1"/>
    <col min="11010" max="11010" width="19" style="17" customWidth="1"/>
    <col min="11011" max="11011" width="14.625" style="17" customWidth="1"/>
    <col min="11012" max="11015" width="13.125" style="17" customWidth="1"/>
    <col min="11016" max="11016" width="13.375" style="17" customWidth="1"/>
    <col min="11017" max="11017" width="10.75" style="17" customWidth="1"/>
    <col min="11018" max="11018" width="9.625" style="17" bestFit="1" customWidth="1"/>
    <col min="11019" max="11264" width="9" style="17"/>
    <col min="11265" max="11265" width="31" style="17" customWidth="1"/>
    <col min="11266" max="11266" width="19" style="17" customWidth="1"/>
    <col min="11267" max="11267" width="14.625" style="17" customWidth="1"/>
    <col min="11268" max="11271" width="13.125" style="17" customWidth="1"/>
    <col min="11272" max="11272" width="13.375" style="17" customWidth="1"/>
    <col min="11273" max="11273" width="10.75" style="17" customWidth="1"/>
    <col min="11274" max="11274" width="9.625" style="17" bestFit="1" customWidth="1"/>
    <col min="11275" max="11520" width="9" style="17"/>
    <col min="11521" max="11521" width="31" style="17" customWidth="1"/>
    <col min="11522" max="11522" width="19" style="17" customWidth="1"/>
    <col min="11523" max="11523" width="14.625" style="17" customWidth="1"/>
    <col min="11524" max="11527" width="13.125" style="17" customWidth="1"/>
    <col min="11528" max="11528" width="13.375" style="17" customWidth="1"/>
    <col min="11529" max="11529" width="10.75" style="17" customWidth="1"/>
    <col min="11530" max="11530" width="9.625" style="17" bestFit="1" customWidth="1"/>
    <col min="11531" max="11776" width="9" style="17"/>
    <col min="11777" max="11777" width="31" style="17" customWidth="1"/>
    <col min="11778" max="11778" width="19" style="17" customWidth="1"/>
    <col min="11779" max="11779" width="14.625" style="17" customWidth="1"/>
    <col min="11780" max="11783" width="13.125" style="17" customWidth="1"/>
    <col min="11784" max="11784" width="13.375" style="17" customWidth="1"/>
    <col min="11785" max="11785" width="10.75" style="17" customWidth="1"/>
    <col min="11786" max="11786" width="9.625" style="17" bestFit="1" customWidth="1"/>
    <col min="11787" max="12032" width="9" style="17"/>
    <col min="12033" max="12033" width="31" style="17" customWidth="1"/>
    <col min="12034" max="12034" width="19" style="17" customWidth="1"/>
    <col min="12035" max="12035" width="14.625" style="17" customWidth="1"/>
    <col min="12036" max="12039" width="13.125" style="17" customWidth="1"/>
    <col min="12040" max="12040" width="13.375" style="17" customWidth="1"/>
    <col min="12041" max="12041" width="10.75" style="17" customWidth="1"/>
    <col min="12042" max="12042" width="9.625" style="17" bestFit="1" customWidth="1"/>
    <col min="12043" max="12288" width="9" style="17"/>
    <col min="12289" max="12289" width="31" style="17" customWidth="1"/>
    <col min="12290" max="12290" width="19" style="17" customWidth="1"/>
    <col min="12291" max="12291" width="14.625" style="17" customWidth="1"/>
    <col min="12292" max="12295" width="13.125" style="17" customWidth="1"/>
    <col min="12296" max="12296" width="13.375" style="17" customWidth="1"/>
    <col min="12297" max="12297" width="10.75" style="17" customWidth="1"/>
    <col min="12298" max="12298" width="9.625" style="17" bestFit="1" customWidth="1"/>
    <col min="12299" max="12544" width="9" style="17"/>
    <col min="12545" max="12545" width="31" style="17" customWidth="1"/>
    <col min="12546" max="12546" width="19" style="17" customWidth="1"/>
    <col min="12547" max="12547" width="14.625" style="17" customWidth="1"/>
    <col min="12548" max="12551" width="13.125" style="17" customWidth="1"/>
    <col min="12552" max="12552" width="13.375" style="17" customWidth="1"/>
    <col min="12553" max="12553" width="10.75" style="17" customWidth="1"/>
    <col min="12554" max="12554" width="9.625" style="17" bestFit="1" customWidth="1"/>
    <col min="12555" max="12800" width="9" style="17"/>
    <col min="12801" max="12801" width="31" style="17" customWidth="1"/>
    <col min="12802" max="12802" width="19" style="17" customWidth="1"/>
    <col min="12803" max="12803" width="14.625" style="17" customWidth="1"/>
    <col min="12804" max="12807" width="13.125" style="17" customWidth="1"/>
    <col min="12808" max="12808" width="13.375" style="17" customWidth="1"/>
    <col min="12809" max="12809" width="10.75" style="17" customWidth="1"/>
    <col min="12810" max="12810" width="9.625" style="17" bestFit="1" customWidth="1"/>
    <col min="12811" max="13056" width="9" style="17"/>
    <col min="13057" max="13057" width="31" style="17" customWidth="1"/>
    <col min="13058" max="13058" width="19" style="17" customWidth="1"/>
    <col min="13059" max="13059" width="14.625" style="17" customWidth="1"/>
    <col min="13060" max="13063" width="13.125" style="17" customWidth="1"/>
    <col min="13064" max="13064" width="13.375" style="17" customWidth="1"/>
    <col min="13065" max="13065" width="10.75" style="17" customWidth="1"/>
    <col min="13066" max="13066" width="9.625" style="17" bestFit="1" customWidth="1"/>
    <col min="13067" max="13312" width="9" style="17"/>
    <col min="13313" max="13313" width="31" style="17" customWidth="1"/>
    <col min="13314" max="13314" width="19" style="17" customWidth="1"/>
    <col min="13315" max="13315" width="14.625" style="17" customWidth="1"/>
    <col min="13316" max="13319" width="13.125" style="17" customWidth="1"/>
    <col min="13320" max="13320" width="13.375" style="17" customWidth="1"/>
    <col min="13321" max="13321" width="10.75" style="17" customWidth="1"/>
    <col min="13322" max="13322" width="9.625" style="17" bestFit="1" customWidth="1"/>
    <col min="13323" max="13568" width="9" style="17"/>
    <col min="13569" max="13569" width="31" style="17" customWidth="1"/>
    <col min="13570" max="13570" width="19" style="17" customWidth="1"/>
    <col min="13571" max="13571" width="14.625" style="17" customWidth="1"/>
    <col min="13572" max="13575" width="13.125" style="17" customWidth="1"/>
    <col min="13576" max="13576" width="13.375" style="17" customWidth="1"/>
    <col min="13577" max="13577" width="10.75" style="17" customWidth="1"/>
    <col min="13578" max="13578" width="9.625" style="17" bestFit="1" customWidth="1"/>
    <col min="13579" max="13824" width="9" style="17"/>
    <col min="13825" max="13825" width="31" style="17" customWidth="1"/>
    <col min="13826" max="13826" width="19" style="17" customWidth="1"/>
    <col min="13827" max="13827" width="14.625" style="17" customWidth="1"/>
    <col min="13828" max="13831" width="13.125" style="17" customWidth="1"/>
    <col min="13832" max="13832" width="13.375" style="17" customWidth="1"/>
    <col min="13833" max="13833" width="10.75" style="17" customWidth="1"/>
    <col min="13834" max="13834" width="9.625" style="17" bestFit="1" customWidth="1"/>
    <col min="13835" max="14080" width="9" style="17"/>
    <col min="14081" max="14081" width="31" style="17" customWidth="1"/>
    <col min="14082" max="14082" width="19" style="17" customWidth="1"/>
    <col min="14083" max="14083" width="14.625" style="17" customWidth="1"/>
    <col min="14084" max="14087" width="13.125" style="17" customWidth="1"/>
    <col min="14088" max="14088" width="13.375" style="17" customWidth="1"/>
    <col min="14089" max="14089" width="10.75" style="17" customWidth="1"/>
    <col min="14090" max="14090" width="9.625" style="17" bestFit="1" customWidth="1"/>
    <col min="14091" max="14336" width="9" style="17"/>
    <col min="14337" max="14337" width="31" style="17" customWidth="1"/>
    <col min="14338" max="14338" width="19" style="17" customWidth="1"/>
    <col min="14339" max="14339" width="14.625" style="17" customWidth="1"/>
    <col min="14340" max="14343" width="13.125" style="17" customWidth="1"/>
    <col min="14344" max="14344" width="13.375" style="17" customWidth="1"/>
    <col min="14345" max="14345" width="10.75" style="17" customWidth="1"/>
    <col min="14346" max="14346" width="9.625" style="17" bestFit="1" customWidth="1"/>
    <col min="14347" max="14592" width="9" style="17"/>
    <col min="14593" max="14593" width="31" style="17" customWidth="1"/>
    <col min="14594" max="14594" width="19" style="17" customWidth="1"/>
    <col min="14595" max="14595" width="14.625" style="17" customWidth="1"/>
    <col min="14596" max="14599" width="13.125" style="17" customWidth="1"/>
    <col min="14600" max="14600" width="13.375" style="17" customWidth="1"/>
    <col min="14601" max="14601" width="10.75" style="17" customWidth="1"/>
    <col min="14602" max="14602" width="9.625" style="17" bestFit="1" customWidth="1"/>
    <col min="14603" max="14848" width="9" style="17"/>
    <col min="14849" max="14849" width="31" style="17" customWidth="1"/>
    <col min="14850" max="14850" width="19" style="17" customWidth="1"/>
    <col min="14851" max="14851" width="14.625" style="17" customWidth="1"/>
    <col min="14852" max="14855" width="13.125" style="17" customWidth="1"/>
    <col min="14856" max="14856" width="13.375" style="17" customWidth="1"/>
    <col min="14857" max="14857" width="10.75" style="17" customWidth="1"/>
    <col min="14858" max="14858" width="9.625" style="17" bestFit="1" customWidth="1"/>
    <col min="14859" max="15104" width="9" style="17"/>
    <col min="15105" max="15105" width="31" style="17" customWidth="1"/>
    <col min="15106" max="15106" width="19" style="17" customWidth="1"/>
    <col min="15107" max="15107" width="14.625" style="17" customWidth="1"/>
    <col min="15108" max="15111" width="13.125" style="17" customWidth="1"/>
    <col min="15112" max="15112" width="13.375" style="17" customWidth="1"/>
    <col min="15113" max="15113" width="10.75" style="17" customWidth="1"/>
    <col min="15114" max="15114" width="9.625" style="17" bestFit="1" customWidth="1"/>
    <col min="15115" max="15360" width="9" style="17"/>
    <col min="15361" max="15361" width="31" style="17" customWidth="1"/>
    <col min="15362" max="15362" width="19" style="17" customWidth="1"/>
    <col min="15363" max="15363" width="14.625" style="17" customWidth="1"/>
    <col min="15364" max="15367" width="13.125" style="17" customWidth="1"/>
    <col min="15368" max="15368" width="13.375" style="17" customWidth="1"/>
    <col min="15369" max="15369" width="10.75" style="17" customWidth="1"/>
    <col min="15370" max="15370" width="9.625" style="17" bestFit="1" customWidth="1"/>
    <col min="15371" max="15616" width="9" style="17"/>
    <col min="15617" max="15617" width="31" style="17" customWidth="1"/>
    <col min="15618" max="15618" width="19" style="17" customWidth="1"/>
    <col min="15619" max="15619" width="14.625" style="17" customWidth="1"/>
    <col min="15620" max="15623" width="13.125" style="17" customWidth="1"/>
    <col min="15624" max="15624" width="13.375" style="17" customWidth="1"/>
    <col min="15625" max="15625" width="10.75" style="17" customWidth="1"/>
    <col min="15626" max="15626" width="9.625" style="17" bestFit="1" customWidth="1"/>
    <col min="15627" max="15872" width="9" style="17"/>
    <col min="15873" max="15873" width="31" style="17" customWidth="1"/>
    <col min="15874" max="15874" width="19" style="17" customWidth="1"/>
    <col min="15875" max="15875" width="14.625" style="17" customWidth="1"/>
    <col min="15876" max="15879" width="13.125" style="17" customWidth="1"/>
    <col min="15880" max="15880" width="13.375" style="17" customWidth="1"/>
    <col min="15881" max="15881" width="10.75" style="17" customWidth="1"/>
    <col min="15882" max="15882" width="9.625" style="17" bestFit="1" customWidth="1"/>
    <col min="15883" max="16128" width="9" style="17"/>
    <col min="16129" max="16129" width="31" style="17" customWidth="1"/>
    <col min="16130" max="16130" width="19" style="17" customWidth="1"/>
    <col min="16131" max="16131" width="14.625" style="17" customWidth="1"/>
    <col min="16132" max="16135" width="13.125" style="17" customWidth="1"/>
    <col min="16136" max="16136" width="13.375" style="17" customWidth="1"/>
    <col min="16137" max="16137" width="10.75" style="17" customWidth="1"/>
    <col min="16138" max="16138" width="9.625" style="17" bestFit="1" customWidth="1"/>
    <col min="16139" max="16384" width="9" style="17"/>
  </cols>
  <sheetData>
    <row r="1" spans="1:10" s="67" customFormat="1">
      <c r="A1" s="464" t="s">
        <v>189</v>
      </c>
      <c r="B1" s="464"/>
      <c r="C1" s="464"/>
      <c r="D1" s="464"/>
      <c r="E1" s="464"/>
      <c r="F1" s="464"/>
      <c r="G1" s="464"/>
      <c r="H1" s="464"/>
    </row>
    <row r="2" spans="1:10" s="67" customFormat="1">
      <c r="A2" s="464" t="s">
        <v>647</v>
      </c>
      <c r="B2" s="464"/>
      <c r="C2" s="464"/>
      <c r="D2" s="464"/>
      <c r="E2" s="464"/>
      <c r="F2" s="464"/>
      <c r="G2" s="464"/>
      <c r="H2" s="464"/>
    </row>
    <row r="3" spans="1:10" s="67" customFormat="1">
      <c r="A3" s="465" t="str">
        <f>+[27]สรุป!A3</f>
        <v>ณ วันที่ 31 ธันวาคม 2565</v>
      </c>
      <c r="B3" s="465"/>
      <c r="C3" s="465"/>
      <c r="D3" s="465"/>
      <c r="E3" s="465"/>
      <c r="F3" s="465"/>
      <c r="G3" s="465"/>
      <c r="H3" s="465"/>
    </row>
    <row r="4" spans="1:10">
      <c r="A4" s="310"/>
      <c r="B4" s="310"/>
      <c r="C4" s="310"/>
      <c r="D4" s="310"/>
      <c r="E4" s="310"/>
      <c r="F4" s="310"/>
      <c r="G4" s="310"/>
      <c r="H4" s="466"/>
    </row>
    <row r="5" spans="1:10" s="470" customFormat="1" ht="19.5" customHeight="1">
      <c r="A5" s="1113" t="s">
        <v>462</v>
      </c>
      <c r="B5" s="467" t="s">
        <v>89</v>
      </c>
      <c r="C5" s="467" t="s">
        <v>90</v>
      </c>
      <c r="D5" s="468"/>
      <c r="E5" s="468"/>
      <c r="F5" s="468"/>
      <c r="G5" s="469"/>
      <c r="H5" s="1116" t="s">
        <v>648</v>
      </c>
    </row>
    <row r="6" spans="1:10" s="471" customFormat="1">
      <c r="A6" s="1114"/>
      <c r="B6" s="469" t="s">
        <v>649</v>
      </c>
      <c r="C6" s="469" t="s">
        <v>650</v>
      </c>
      <c r="D6" s="469"/>
      <c r="E6" s="469"/>
      <c r="F6" s="469"/>
      <c r="G6" s="469"/>
      <c r="H6" s="1117"/>
    </row>
    <row r="7" spans="1:10" s="67" customFormat="1" ht="131.25" customHeight="1">
      <c r="A7" s="1115"/>
      <c r="B7" s="472" t="s">
        <v>454</v>
      </c>
      <c r="C7" s="473" t="s">
        <v>458</v>
      </c>
      <c r="D7" s="469"/>
      <c r="E7" s="470"/>
      <c r="F7" s="309"/>
      <c r="G7" s="470"/>
      <c r="H7" s="1118"/>
    </row>
    <row r="8" spans="1:10" ht="21.75" thickBot="1">
      <c r="A8" s="474" t="s">
        <v>11</v>
      </c>
      <c r="B8" s="475">
        <f t="shared" ref="B8:G8" si="0">SUM(B10:B15)</f>
        <v>500000</v>
      </c>
      <c r="C8" s="475">
        <f t="shared" si="0"/>
        <v>400000</v>
      </c>
      <c r="D8" s="475">
        <f t="shared" si="0"/>
        <v>0</v>
      </c>
      <c r="E8" s="475">
        <f t="shared" si="0"/>
        <v>0</v>
      </c>
      <c r="F8" s="475">
        <f t="shared" si="0"/>
        <v>0</v>
      </c>
      <c r="G8" s="475">
        <f t="shared" si="0"/>
        <v>0</v>
      </c>
      <c r="H8" s="475">
        <f>SUM(B8:G8)</f>
        <v>900000</v>
      </c>
      <c r="J8" s="476"/>
    </row>
    <row r="9" spans="1:10" ht="21.75" thickTop="1">
      <c r="A9" s="477" t="s">
        <v>651</v>
      </c>
      <c r="B9" s="478"/>
      <c r="C9" s="478"/>
      <c r="D9" s="478"/>
      <c r="E9" s="478"/>
      <c r="F9" s="478"/>
      <c r="G9" s="478"/>
      <c r="H9" s="478"/>
    </row>
    <row r="10" spans="1:10">
      <c r="A10" s="479" t="s">
        <v>652</v>
      </c>
      <c r="B10" s="480">
        <v>500000</v>
      </c>
      <c r="C10" s="480">
        <v>0</v>
      </c>
      <c r="D10" s="480">
        <v>0</v>
      </c>
      <c r="E10" s="480">
        <v>0</v>
      </c>
      <c r="F10" s="480">
        <v>0</v>
      </c>
      <c r="G10" s="480">
        <v>0</v>
      </c>
      <c r="H10" s="478">
        <f>SUM(B10:G10)</f>
        <v>500000</v>
      </c>
    </row>
    <row r="11" spans="1:10">
      <c r="A11" s="481" t="s">
        <v>653</v>
      </c>
      <c r="B11" s="480">
        <v>0</v>
      </c>
      <c r="C11" s="480">
        <v>400000</v>
      </c>
      <c r="D11" s="480">
        <v>0</v>
      </c>
      <c r="E11" s="480">
        <v>0</v>
      </c>
      <c r="F11" s="480">
        <v>0</v>
      </c>
      <c r="G11" s="480">
        <v>0</v>
      </c>
      <c r="H11" s="478">
        <f>SUM(B11:G11)</f>
        <v>400000</v>
      </c>
    </row>
    <row r="12" spans="1:10">
      <c r="A12" s="481"/>
      <c r="B12" s="480"/>
      <c r="C12" s="480"/>
      <c r="D12" s="480"/>
      <c r="E12" s="480"/>
      <c r="F12" s="480"/>
      <c r="G12" s="480"/>
      <c r="H12" s="478"/>
    </row>
    <row r="13" spans="1:10">
      <c r="A13" s="479"/>
      <c r="B13" s="480"/>
      <c r="C13" s="480"/>
      <c r="D13" s="480"/>
      <c r="E13" s="480"/>
      <c r="F13" s="480"/>
      <c r="G13" s="480"/>
      <c r="H13" s="478"/>
    </row>
    <row r="14" spans="1:10">
      <c r="A14" s="481"/>
      <c r="B14" s="480"/>
      <c r="C14" s="480"/>
      <c r="D14" s="480"/>
      <c r="E14" s="480"/>
      <c r="F14" s="480"/>
      <c r="G14" s="480"/>
      <c r="H14" s="478"/>
    </row>
    <row r="15" spans="1:10">
      <c r="A15" s="482"/>
      <c r="B15" s="483"/>
      <c r="C15" s="483"/>
      <c r="D15" s="483"/>
      <c r="E15" s="483"/>
      <c r="F15" s="483"/>
      <c r="G15" s="483"/>
      <c r="H15" s="484"/>
    </row>
  </sheetData>
  <mergeCells count="2">
    <mergeCell ref="A5:A7"/>
    <mergeCell ref="H5:H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F8" sqref="F8"/>
    </sheetView>
  </sheetViews>
  <sheetFormatPr defaultRowHeight="17.25"/>
  <cols>
    <col min="1" max="1" width="22.5" style="487" customWidth="1"/>
    <col min="2" max="2" width="10.75" style="488" bestFit="1" customWidth="1"/>
    <col min="3" max="3" width="10.5" style="488" bestFit="1" customWidth="1"/>
    <col min="4" max="4" width="9.75" style="488" bestFit="1" customWidth="1"/>
    <col min="5" max="5" width="9.875" style="488" bestFit="1" customWidth="1"/>
    <col min="6" max="6" width="9.75" style="488" bestFit="1" customWidth="1"/>
    <col min="7" max="7" width="9.875" style="488" bestFit="1" customWidth="1"/>
    <col min="8" max="8" width="9.75" style="488" bestFit="1" customWidth="1"/>
    <col min="9" max="9" width="9.875" style="488" bestFit="1" customWidth="1"/>
    <col min="10" max="11" width="10" style="488" bestFit="1" customWidth="1"/>
    <col min="12" max="12" width="9.875" style="488" bestFit="1" customWidth="1"/>
    <col min="13" max="13" width="9.75" style="488" bestFit="1" customWidth="1"/>
    <col min="14" max="14" width="9.875" style="488" bestFit="1" customWidth="1"/>
    <col min="15" max="15" width="10.375" style="488" customWidth="1"/>
    <col min="16" max="16" width="9.625" style="489" customWidth="1"/>
    <col min="17" max="17" width="12.625" style="487" customWidth="1"/>
    <col min="18" max="256" width="9" style="487"/>
    <col min="257" max="257" width="22.5" style="487" customWidth="1"/>
    <col min="258" max="258" width="10.75" style="487" bestFit="1" customWidth="1"/>
    <col min="259" max="259" width="10.5" style="487" bestFit="1" customWidth="1"/>
    <col min="260" max="260" width="9.75" style="487" bestFit="1" customWidth="1"/>
    <col min="261" max="261" width="9.875" style="487" bestFit="1" customWidth="1"/>
    <col min="262" max="262" width="9.75" style="487" bestFit="1" customWidth="1"/>
    <col min="263" max="263" width="9.875" style="487" bestFit="1" customWidth="1"/>
    <col min="264" max="264" width="9.75" style="487" bestFit="1" customWidth="1"/>
    <col min="265" max="265" width="9.875" style="487" bestFit="1" customWidth="1"/>
    <col min="266" max="267" width="10" style="487" bestFit="1" customWidth="1"/>
    <col min="268" max="268" width="9.875" style="487" bestFit="1" customWidth="1"/>
    <col min="269" max="269" width="9.75" style="487" bestFit="1" customWidth="1"/>
    <col min="270" max="270" width="9.875" style="487" bestFit="1" customWidth="1"/>
    <col min="271" max="271" width="10.375" style="487" customWidth="1"/>
    <col min="272" max="272" width="9.625" style="487" customWidth="1"/>
    <col min="273" max="273" width="12.625" style="487" customWidth="1"/>
    <col min="274" max="512" width="9" style="487"/>
    <col min="513" max="513" width="22.5" style="487" customWidth="1"/>
    <col min="514" max="514" width="10.75" style="487" bestFit="1" customWidth="1"/>
    <col min="515" max="515" width="10.5" style="487" bestFit="1" customWidth="1"/>
    <col min="516" max="516" width="9.75" style="487" bestFit="1" customWidth="1"/>
    <col min="517" max="517" width="9.875" style="487" bestFit="1" customWidth="1"/>
    <col min="518" max="518" width="9.75" style="487" bestFit="1" customWidth="1"/>
    <col min="519" max="519" width="9.875" style="487" bestFit="1" customWidth="1"/>
    <col min="520" max="520" width="9.75" style="487" bestFit="1" customWidth="1"/>
    <col min="521" max="521" width="9.875" style="487" bestFit="1" customWidth="1"/>
    <col min="522" max="523" width="10" style="487" bestFit="1" customWidth="1"/>
    <col min="524" max="524" width="9.875" style="487" bestFit="1" customWidth="1"/>
    <col min="525" max="525" width="9.75" style="487" bestFit="1" customWidth="1"/>
    <col min="526" max="526" width="9.875" style="487" bestFit="1" customWidth="1"/>
    <col min="527" max="527" width="10.375" style="487" customWidth="1"/>
    <col min="528" max="528" width="9.625" style="487" customWidth="1"/>
    <col min="529" max="529" width="12.625" style="487" customWidth="1"/>
    <col min="530" max="768" width="9" style="487"/>
    <col min="769" max="769" width="22.5" style="487" customWidth="1"/>
    <col min="770" max="770" width="10.75" style="487" bestFit="1" customWidth="1"/>
    <col min="771" max="771" width="10.5" style="487" bestFit="1" customWidth="1"/>
    <col min="772" max="772" width="9.75" style="487" bestFit="1" customWidth="1"/>
    <col min="773" max="773" width="9.875" style="487" bestFit="1" customWidth="1"/>
    <col min="774" max="774" width="9.75" style="487" bestFit="1" customWidth="1"/>
    <col min="775" max="775" width="9.875" style="487" bestFit="1" customWidth="1"/>
    <col min="776" max="776" width="9.75" style="487" bestFit="1" customWidth="1"/>
    <col min="777" max="777" width="9.875" style="487" bestFit="1" customWidth="1"/>
    <col min="778" max="779" width="10" style="487" bestFit="1" customWidth="1"/>
    <col min="780" max="780" width="9.875" style="487" bestFit="1" customWidth="1"/>
    <col min="781" max="781" width="9.75" style="487" bestFit="1" customWidth="1"/>
    <col min="782" max="782" width="9.875" style="487" bestFit="1" customWidth="1"/>
    <col min="783" max="783" width="10.375" style="487" customWidth="1"/>
    <col min="784" max="784" width="9.625" style="487" customWidth="1"/>
    <col min="785" max="785" width="12.625" style="487" customWidth="1"/>
    <col min="786" max="1024" width="9" style="487"/>
    <col min="1025" max="1025" width="22.5" style="487" customWidth="1"/>
    <col min="1026" max="1026" width="10.75" style="487" bestFit="1" customWidth="1"/>
    <col min="1027" max="1027" width="10.5" style="487" bestFit="1" customWidth="1"/>
    <col min="1028" max="1028" width="9.75" style="487" bestFit="1" customWidth="1"/>
    <col min="1029" max="1029" width="9.875" style="487" bestFit="1" customWidth="1"/>
    <col min="1030" max="1030" width="9.75" style="487" bestFit="1" customWidth="1"/>
    <col min="1031" max="1031" width="9.875" style="487" bestFit="1" customWidth="1"/>
    <col min="1032" max="1032" width="9.75" style="487" bestFit="1" customWidth="1"/>
    <col min="1033" max="1033" width="9.875" style="487" bestFit="1" customWidth="1"/>
    <col min="1034" max="1035" width="10" style="487" bestFit="1" customWidth="1"/>
    <col min="1036" max="1036" width="9.875" style="487" bestFit="1" customWidth="1"/>
    <col min="1037" max="1037" width="9.75" style="487" bestFit="1" customWidth="1"/>
    <col min="1038" max="1038" width="9.875" style="487" bestFit="1" customWidth="1"/>
    <col min="1039" max="1039" width="10.375" style="487" customWidth="1"/>
    <col min="1040" max="1040" width="9.625" style="487" customWidth="1"/>
    <col min="1041" max="1041" width="12.625" style="487" customWidth="1"/>
    <col min="1042" max="1280" width="9" style="487"/>
    <col min="1281" max="1281" width="22.5" style="487" customWidth="1"/>
    <col min="1282" max="1282" width="10.75" style="487" bestFit="1" customWidth="1"/>
    <col min="1283" max="1283" width="10.5" style="487" bestFit="1" customWidth="1"/>
    <col min="1284" max="1284" width="9.75" style="487" bestFit="1" customWidth="1"/>
    <col min="1285" max="1285" width="9.875" style="487" bestFit="1" customWidth="1"/>
    <col min="1286" max="1286" width="9.75" style="487" bestFit="1" customWidth="1"/>
    <col min="1287" max="1287" width="9.875" style="487" bestFit="1" customWidth="1"/>
    <col min="1288" max="1288" width="9.75" style="487" bestFit="1" customWidth="1"/>
    <col min="1289" max="1289" width="9.875" style="487" bestFit="1" customWidth="1"/>
    <col min="1290" max="1291" width="10" style="487" bestFit="1" customWidth="1"/>
    <col min="1292" max="1292" width="9.875" style="487" bestFit="1" customWidth="1"/>
    <col min="1293" max="1293" width="9.75" style="487" bestFit="1" customWidth="1"/>
    <col min="1294" max="1294" width="9.875" style="487" bestFit="1" customWidth="1"/>
    <col min="1295" max="1295" width="10.375" style="487" customWidth="1"/>
    <col min="1296" max="1296" width="9.625" style="487" customWidth="1"/>
    <col min="1297" max="1297" width="12.625" style="487" customWidth="1"/>
    <col min="1298" max="1536" width="9" style="487"/>
    <col min="1537" max="1537" width="22.5" style="487" customWidth="1"/>
    <col min="1538" max="1538" width="10.75" style="487" bestFit="1" customWidth="1"/>
    <col min="1539" max="1539" width="10.5" style="487" bestFit="1" customWidth="1"/>
    <col min="1540" max="1540" width="9.75" style="487" bestFit="1" customWidth="1"/>
    <col min="1541" max="1541" width="9.875" style="487" bestFit="1" customWidth="1"/>
    <col min="1542" max="1542" width="9.75" style="487" bestFit="1" customWidth="1"/>
    <col min="1543" max="1543" width="9.875" style="487" bestFit="1" customWidth="1"/>
    <col min="1544" max="1544" width="9.75" style="487" bestFit="1" customWidth="1"/>
    <col min="1545" max="1545" width="9.875" style="487" bestFit="1" customWidth="1"/>
    <col min="1546" max="1547" width="10" style="487" bestFit="1" customWidth="1"/>
    <col min="1548" max="1548" width="9.875" style="487" bestFit="1" customWidth="1"/>
    <col min="1549" max="1549" width="9.75" style="487" bestFit="1" customWidth="1"/>
    <col min="1550" max="1550" width="9.875" style="487" bestFit="1" customWidth="1"/>
    <col min="1551" max="1551" width="10.375" style="487" customWidth="1"/>
    <col min="1552" max="1552" width="9.625" style="487" customWidth="1"/>
    <col min="1553" max="1553" width="12.625" style="487" customWidth="1"/>
    <col min="1554" max="1792" width="9" style="487"/>
    <col min="1793" max="1793" width="22.5" style="487" customWidth="1"/>
    <col min="1794" max="1794" width="10.75" style="487" bestFit="1" customWidth="1"/>
    <col min="1795" max="1795" width="10.5" style="487" bestFit="1" customWidth="1"/>
    <col min="1796" max="1796" width="9.75" style="487" bestFit="1" customWidth="1"/>
    <col min="1797" max="1797" width="9.875" style="487" bestFit="1" customWidth="1"/>
    <col min="1798" max="1798" width="9.75" style="487" bestFit="1" customWidth="1"/>
    <col min="1799" max="1799" width="9.875" style="487" bestFit="1" customWidth="1"/>
    <col min="1800" max="1800" width="9.75" style="487" bestFit="1" customWidth="1"/>
    <col min="1801" max="1801" width="9.875" style="487" bestFit="1" customWidth="1"/>
    <col min="1802" max="1803" width="10" style="487" bestFit="1" customWidth="1"/>
    <col min="1804" max="1804" width="9.875" style="487" bestFit="1" customWidth="1"/>
    <col min="1805" max="1805" width="9.75" style="487" bestFit="1" customWidth="1"/>
    <col min="1806" max="1806" width="9.875" style="487" bestFit="1" customWidth="1"/>
    <col min="1807" max="1807" width="10.375" style="487" customWidth="1"/>
    <col min="1808" max="1808" width="9.625" style="487" customWidth="1"/>
    <col min="1809" max="1809" width="12.625" style="487" customWidth="1"/>
    <col min="1810" max="2048" width="9" style="487"/>
    <col min="2049" max="2049" width="22.5" style="487" customWidth="1"/>
    <col min="2050" max="2050" width="10.75" style="487" bestFit="1" customWidth="1"/>
    <col min="2051" max="2051" width="10.5" style="487" bestFit="1" customWidth="1"/>
    <col min="2052" max="2052" width="9.75" style="487" bestFit="1" customWidth="1"/>
    <col min="2053" max="2053" width="9.875" style="487" bestFit="1" customWidth="1"/>
    <col min="2054" max="2054" width="9.75" style="487" bestFit="1" customWidth="1"/>
    <col min="2055" max="2055" width="9.875" style="487" bestFit="1" customWidth="1"/>
    <col min="2056" max="2056" width="9.75" style="487" bestFit="1" customWidth="1"/>
    <col min="2057" max="2057" width="9.875" style="487" bestFit="1" customWidth="1"/>
    <col min="2058" max="2059" width="10" style="487" bestFit="1" customWidth="1"/>
    <col min="2060" max="2060" width="9.875" style="487" bestFit="1" customWidth="1"/>
    <col min="2061" max="2061" width="9.75" style="487" bestFit="1" customWidth="1"/>
    <col min="2062" max="2062" width="9.875" style="487" bestFit="1" customWidth="1"/>
    <col min="2063" max="2063" width="10.375" style="487" customWidth="1"/>
    <col min="2064" max="2064" width="9.625" style="487" customWidth="1"/>
    <col min="2065" max="2065" width="12.625" style="487" customWidth="1"/>
    <col min="2066" max="2304" width="9" style="487"/>
    <col min="2305" max="2305" width="22.5" style="487" customWidth="1"/>
    <col min="2306" max="2306" width="10.75" style="487" bestFit="1" customWidth="1"/>
    <col min="2307" max="2307" width="10.5" style="487" bestFit="1" customWidth="1"/>
    <col min="2308" max="2308" width="9.75" style="487" bestFit="1" customWidth="1"/>
    <col min="2309" max="2309" width="9.875" style="487" bestFit="1" customWidth="1"/>
    <col min="2310" max="2310" width="9.75" style="487" bestFit="1" customWidth="1"/>
    <col min="2311" max="2311" width="9.875" style="487" bestFit="1" customWidth="1"/>
    <col min="2312" max="2312" width="9.75" style="487" bestFit="1" customWidth="1"/>
    <col min="2313" max="2313" width="9.875" style="487" bestFit="1" customWidth="1"/>
    <col min="2314" max="2315" width="10" style="487" bestFit="1" customWidth="1"/>
    <col min="2316" max="2316" width="9.875" style="487" bestFit="1" customWidth="1"/>
    <col min="2317" max="2317" width="9.75" style="487" bestFit="1" customWidth="1"/>
    <col min="2318" max="2318" width="9.875" style="487" bestFit="1" customWidth="1"/>
    <col min="2319" max="2319" width="10.375" style="487" customWidth="1"/>
    <col min="2320" max="2320" width="9.625" style="487" customWidth="1"/>
    <col min="2321" max="2321" width="12.625" style="487" customWidth="1"/>
    <col min="2322" max="2560" width="9" style="487"/>
    <col min="2561" max="2561" width="22.5" style="487" customWidth="1"/>
    <col min="2562" max="2562" width="10.75" style="487" bestFit="1" customWidth="1"/>
    <col min="2563" max="2563" width="10.5" style="487" bestFit="1" customWidth="1"/>
    <col min="2564" max="2564" width="9.75" style="487" bestFit="1" customWidth="1"/>
    <col min="2565" max="2565" width="9.875" style="487" bestFit="1" customWidth="1"/>
    <col min="2566" max="2566" width="9.75" style="487" bestFit="1" customWidth="1"/>
    <col min="2567" max="2567" width="9.875" style="487" bestFit="1" customWidth="1"/>
    <col min="2568" max="2568" width="9.75" style="487" bestFit="1" customWidth="1"/>
    <col min="2569" max="2569" width="9.875" style="487" bestFit="1" customWidth="1"/>
    <col min="2570" max="2571" width="10" style="487" bestFit="1" customWidth="1"/>
    <col min="2572" max="2572" width="9.875" style="487" bestFit="1" customWidth="1"/>
    <col min="2573" max="2573" width="9.75" style="487" bestFit="1" customWidth="1"/>
    <col min="2574" max="2574" width="9.875" style="487" bestFit="1" customWidth="1"/>
    <col min="2575" max="2575" width="10.375" style="487" customWidth="1"/>
    <col min="2576" max="2576" width="9.625" style="487" customWidth="1"/>
    <col min="2577" max="2577" width="12.625" style="487" customWidth="1"/>
    <col min="2578" max="2816" width="9" style="487"/>
    <col min="2817" max="2817" width="22.5" style="487" customWidth="1"/>
    <col min="2818" max="2818" width="10.75" style="487" bestFit="1" customWidth="1"/>
    <col min="2819" max="2819" width="10.5" style="487" bestFit="1" customWidth="1"/>
    <col min="2820" max="2820" width="9.75" style="487" bestFit="1" customWidth="1"/>
    <col min="2821" max="2821" width="9.875" style="487" bestFit="1" customWidth="1"/>
    <col min="2822" max="2822" width="9.75" style="487" bestFit="1" customWidth="1"/>
    <col min="2823" max="2823" width="9.875" style="487" bestFit="1" customWidth="1"/>
    <col min="2824" max="2824" width="9.75" style="487" bestFit="1" customWidth="1"/>
    <col min="2825" max="2825" width="9.875" style="487" bestFit="1" customWidth="1"/>
    <col min="2826" max="2827" width="10" style="487" bestFit="1" customWidth="1"/>
    <col min="2828" max="2828" width="9.875" style="487" bestFit="1" customWidth="1"/>
    <col min="2829" max="2829" width="9.75" style="487" bestFit="1" customWidth="1"/>
    <col min="2830" max="2830" width="9.875" style="487" bestFit="1" customWidth="1"/>
    <col min="2831" max="2831" width="10.375" style="487" customWidth="1"/>
    <col min="2832" max="2832" width="9.625" style="487" customWidth="1"/>
    <col min="2833" max="2833" width="12.625" style="487" customWidth="1"/>
    <col min="2834" max="3072" width="9" style="487"/>
    <col min="3073" max="3073" width="22.5" style="487" customWidth="1"/>
    <col min="3074" max="3074" width="10.75" style="487" bestFit="1" customWidth="1"/>
    <col min="3075" max="3075" width="10.5" style="487" bestFit="1" customWidth="1"/>
    <col min="3076" max="3076" width="9.75" style="487" bestFit="1" customWidth="1"/>
    <col min="3077" max="3077" width="9.875" style="487" bestFit="1" customWidth="1"/>
    <col min="3078" max="3078" width="9.75" style="487" bestFit="1" customWidth="1"/>
    <col min="3079" max="3079" width="9.875" style="487" bestFit="1" customWidth="1"/>
    <col min="3080" max="3080" width="9.75" style="487" bestFit="1" customWidth="1"/>
    <col min="3081" max="3081" width="9.875" style="487" bestFit="1" customWidth="1"/>
    <col min="3082" max="3083" width="10" style="487" bestFit="1" customWidth="1"/>
    <col min="3084" max="3084" width="9.875" style="487" bestFit="1" customWidth="1"/>
    <col min="3085" max="3085" width="9.75" style="487" bestFit="1" customWidth="1"/>
    <col min="3086" max="3086" width="9.875" style="487" bestFit="1" customWidth="1"/>
    <col min="3087" max="3087" width="10.375" style="487" customWidth="1"/>
    <col min="3088" max="3088" width="9.625" style="487" customWidth="1"/>
    <col min="3089" max="3089" width="12.625" style="487" customWidth="1"/>
    <col min="3090" max="3328" width="9" style="487"/>
    <col min="3329" max="3329" width="22.5" style="487" customWidth="1"/>
    <col min="3330" max="3330" width="10.75" style="487" bestFit="1" customWidth="1"/>
    <col min="3331" max="3331" width="10.5" style="487" bestFit="1" customWidth="1"/>
    <col min="3332" max="3332" width="9.75" style="487" bestFit="1" customWidth="1"/>
    <col min="3333" max="3333" width="9.875" style="487" bestFit="1" customWidth="1"/>
    <col min="3334" max="3334" width="9.75" style="487" bestFit="1" customWidth="1"/>
    <col min="3335" max="3335" width="9.875" style="487" bestFit="1" customWidth="1"/>
    <col min="3336" max="3336" width="9.75" style="487" bestFit="1" customWidth="1"/>
    <col min="3337" max="3337" width="9.875" style="487" bestFit="1" customWidth="1"/>
    <col min="3338" max="3339" width="10" style="487" bestFit="1" customWidth="1"/>
    <col min="3340" max="3340" width="9.875" style="487" bestFit="1" customWidth="1"/>
    <col min="3341" max="3341" width="9.75" style="487" bestFit="1" customWidth="1"/>
    <col min="3342" max="3342" width="9.875" style="487" bestFit="1" customWidth="1"/>
    <col min="3343" max="3343" width="10.375" style="487" customWidth="1"/>
    <col min="3344" max="3344" width="9.625" style="487" customWidth="1"/>
    <col min="3345" max="3345" width="12.625" style="487" customWidth="1"/>
    <col min="3346" max="3584" width="9" style="487"/>
    <col min="3585" max="3585" width="22.5" style="487" customWidth="1"/>
    <col min="3586" max="3586" width="10.75" style="487" bestFit="1" customWidth="1"/>
    <col min="3587" max="3587" width="10.5" style="487" bestFit="1" customWidth="1"/>
    <col min="3588" max="3588" width="9.75" style="487" bestFit="1" customWidth="1"/>
    <col min="3589" max="3589" width="9.875" style="487" bestFit="1" customWidth="1"/>
    <col min="3590" max="3590" width="9.75" style="487" bestFit="1" customWidth="1"/>
    <col min="3591" max="3591" width="9.875" style="487" bestFit="1" customWidth="1"/>
    <col min="3592" max="3592" width="9.75" style="487" bestFit="1" customWidth="1"/>
    <col min="3593" max="3593" width="9.875" style="487" bestFit="1" customWidth="1"/>
    <col min="3594" max="3595" width="10" style="487" bestFit="1" customWidth="1"/>
    <col min="3596" max="3596" width="9.875" style="487" bestFit="1" customWidth="1"/>
    <col min="3597" max="3597" width="9.75" style="487" bestFit="1" customWidth="1"/>
    <col min="3598" max="3598" width="9.875" style="487" bestFit="1" customWidth="1"/>
    <col min="3599" max="3599" width="10.375" style="487" customWidth="1"/>
    <col min="3600" max="3600" width="9.625" style="487" customWidth="1"/>
    <col min="3601" max="3601" width="12.625" style="487" customWidth="1"/>
    <col min="3602" max="3840" width="9" style="487"/>
    <col min="3841" max="3841" width="22.5" style="487" customWidth="1"/>
    <col min="3842" max="3842" width="10.75" style="487" bestFit="1" customWidth="1"/>
    <col min="3843" max="3843" width="10.5" style="487" bestFit="1" customWidth="1"/>
    <col min="3844" max="3844" width="9.75" style="487" bestFit="1" customWidth="1"/>
    <col min="3845" max="3845" width="9.875" style="487" bestFit="1" customWidth="1"/>
    <col min="3846" max="3846" width="9.75" style="487" bestFit="1" customWidth="1"/>
    <col min="3847" max="3847" width="9.875" style="487" bestFit="1" customWidth="1"/>
    <col min="3848" max="3848" width="9.75" style="487" bestFit="1" customWidth="1"/>
    <col min="3849" max="3849" width="9.875" style="487" bestFit="1" customWidth="1"/>
    <col min="3850" max="3851" width="10" style="487" bestFit="1" customWidth="1"/>
    <col min="3852" max="3852" width="9.875" style="487" bestFit="1" customWidth="1"/>
    <col min="3853" max="3853" width="9.75" style="487" bestFit="1" customWidth="1"/>
    <col min="3854" max="3854" width="9.875" style="487" bestFit="1" customWidth="1"/>
    <col min="3855" max="3855" width="10.375" style="487" customWidth="1"/>
    <col min="3856" max="3856" width="9.625" style="487" customWidth="1"/>
    <col min="3857" max="3857" width="12.625" style="487" customWidth="1"/>
    <col min="3858" max="4096" width="9" style="487"/>
    <col min="4097" max="4097" width="22.5" style="487" customWidth="1"/>
    <col min="4098" max="4098" width="10.75" style="487" bestFit="1" customWidth="1"/>
    <col min="4099" max="4099" width="10.5" style="487" bestFit="1" customWidth="1"/>
    <col min="4100" max="4100" width="9.75" style="487" bestFit="1" customWidth="1"/>
    <col min="4101" max="4101" width="9.875" style="487" bestFit="1" customWidth="1"/>
    <col min="4102" max="4102" width="9.75" style="487" bestFit="1" customWidth="1"/>
    <col min="4103" max="4103" width="9.875" style="487" bestFit="1" customWidth="1"/>
    <col min="4104" max="4104" width="9.75" style="487" bestFit="1" customWidth="1"/>
    <col min="4105" max="4105" width="9.875" style="487" bestFit="1" customWidth="1"/>
    <col min="4106" max="4107" width="10" style="487" bestFit="1" customWidth="1"/>
    <col min="4108" max="4108" width="9.875" style="487" bestFit="1" customWidth="1"/>
    <col min="4109" max="4109" width="9.75" style="487" bestFit="1" customWidth="1"/>
    <col min="4110" max="4110" width="9.875" style="487" bestFit="1" customWidth="1"/>
    <col min="4111" max="4111" width="10.375" style="487" customWidth="1"/>
    <col min="4112" max="4112" width="9.625" style="487" customWidth="1"/>
    <col min="4113" max="4113" width="12.625" style="487" customWidth="1"/>
    <col min="4114" max="4352" width="9" style="487"/>
    <col min="4353" max="4353" width="22.5" style="487" customWidth="1"/>
    <col min="4354" max="4354" width="10.75" style="487" bestFit="1" customWidth="1"/>
    <col min="4355" max="4355" width="10.5" style="487" bestFit="1" customWidth="1"/>
    <col min="4356" max="4356" width="9.75" style="487" bestFit="1" customWidth="1"/>
    <col min="4357" max="4357" width="9.875" style="487" bestFit="1" customWidth="1"/>
    <col min="4358" max="4358" width="9.75" style="487" bestFit="1" customWidth="1"/>
    <col min="4359" max="4359" width="9.875" style="487" bestFit="1" customWidth="1"/>
    <col min="4360" max="4360" width="9.75" style="487" bestFit="1" customWidth="1"/>
    <col min="4361" max="4361" width="9.875" style="487" bestFit="1" customWidth="1"/>
    <col min="4362" max="4363" width="10" style="487" bestFit="1" customWidth="1"/>
    <col min="4364" max="4364" width="9.875" style="487" bestFit="1" customWidth="1"/>
    <col min="4365" max="4365" width="9.75" style="487" bestFit="1" customWidth="1"/>
    <col min="4366" max="4366" width="9.875" style="487" bestFit="1" customWidth="1"/>
    <col min="4367" max="4367" width="10.375" style="487" customWidth="1"/>
    <col min="4368" max="4368" width="9.625" style="487" customWidth="1"/>
    <col min="4369" max="4369" width="12.625" style="487" customWidth="1"/>
    <col min="4370" max="4608" width="9" style="487"/>
    <col min="4609" max="4609" width="22.5" style="487" customWidth="1"/>
    <col min="4610" max="4610" width="10.75" style="487" bestFit="1" customWidth="1"/>
    <col min="4611" max="4611" width="10.5" style="487" bestFit="1" customWidth="1"/>
    <col min="4612" max="4612" width="9.75" style="487" bestFit="1" customWidth="1"/>
    <col min="4613" max="4613" width="9.875" style="487" bestFit="1" customWidth="1"/>
    <col min="4614" max="4614" width="9.75" style="487" bestFit="1" customWidth="1"/>
    <col min="4615" max="4615" width="9.875" style="487" bestFit="1" customWidth="1"/>
    <col min="4616" max="4616" width="9.75" style="487" bestFit="1" customWidth="1"/>
    <col min="4617" max="4617" width="9.875" style="487" bestFit="1" customWidth="1"/>
    <col min="4618" max="4619" width="10" style="487" bestFit="1" customWidth="1"/>
    <col min="4620" max="4620" width="9.875" style="487" bestFit="1" customWidth="1"/>
    <col min="4621" max="4621" width="9.75" style="487" bestFit="1" customWidth="1"/>
    <col min="4622" max="4622" width="9.875" style="487" bestFit="1" customWidth="1"/>
    <col min="4623" max="4623" width="10.375" style="487" customWidth="1"/>
    <col min="4624" max="4624" width="9.625" style="487" customWidth="1"/>
    <col min="4625" max="4625" width="12.625" style="487" customWidth="1"/>
    <col min="4626" max="4864" width="9" style="487"/>
    <col min="4865" max="4865" width="22.5" style="487" customWidth="1"/>
    <col min="4866" max="4866" width="10.75" style="487" bestFit="1" customWidth="1"/>
    <col min="4867" max="4867" width="10.5" style="487" bestFit="1" customWidth="1"/>
    <col min="4868" max="4868" width="9.75" style="487" bestFit="1" customWidth="1"/>
    <col min="4869" max="4869" width="9.875" style="487" bestFit="1" customWidth="1"/>
    <col min="4870" max="4870" width="9.75" style="487" bestFit="1" customWidth="1"/>
    <col min="4871" max="4871" width="9.875" style="487" bestFit="1" customWidth="1"/>
    <col min="4872" max="4872" width="9.75" style="487" bestFit="1" customWidth="1"/>
    <col min="4873" max="4873" width="9.875" style="487" bestFit="1" customWidth="1"/>
    <col min="4874" max="4875" width="10" style="487" bestFit="1" customWidth="1"/>
    <col min="4876" max="4876" width="9.875" style="487" bestFit="1" customWidth="1"/>
    <col min="4877" max="4877" width="9.75" style="487" bestFit="1" customWidth="1"/>
    <col min="4878" max="4878" width="9.875" style="487" bestFit="1" customWidth="1"/>
    <col min="4879" max="4879" width="10.375" style="487" customWidth="1"/>
    <col min="4880" max="4880" width="9.625" style="487" customWidth="1"/>
    <col min="4881" max="4881" width="12.625" style="487" customWidth="1"/>
    <col min="4882" max="5120" width="9" style="487"/>
    <col min="5121" max="5121" width="22.5" style="487" customWidth="1"/>
    <col min="5122" max="5122" width="10.75" style="487" bestFit="1" customWidth="1"/>
    <col min="5123" max="5123" width="10.5" style="487" bestFit="1" customWidth="1"/>
    <col min="5124" max="5124" width="9.75" style="487" bestFit="1" customWidth="1"/>
    <col min="5125" max="5125" width="9.875" style="487" bestFit="1" customWidth="1"/>
    <col min="5126" max="5126" width="9.75" style="487" bestFit="1" customWidth="1"/>
    <col min="5127" max="5127" width="9.875" style="487" bestFit="1" customWidth="1"/>
    <col min="5128" max="5128" width="9.75" style="487" bestFit="1" customWidth="1"/>
    <col min="5129" max="5129" width="9.875" style="487" bestFit="1" customWidth="1"/>
    <col min="5130" max="5131" width="10" style="487" bestFit="1" customWidth="1"/>
    <col min="5132" max="5132" width="9.875" style="487" bestFit="1" customWidth="1"/>
    <col min="5133" max="5133" width="9.75" style="487" bestFit="1" customWidth="1"/>
    <col min="5134" max="5134" width="9.875" style="487" bestFit="1" customWidth="1"/>
    <col min="5135" max="5135" width="10.375" style="487" customWidth="1"/>
    <col min="5136" max="5136" width="9.625" style="487" customWidth="1"/>
    <col min="5137" max="5137" width="12.625" style="487" customWidth="1"/>
    <col min="5138" max="5376" width="9" style="487"/>
    <col min="5377" max="5377" width="22.5" style="487" customWidth="1"/>
    <col min="5378" max="5378" width="10.75" style="487" bestFit="1" customWidth="1"/>
    <col min="5379" max="5379" width="10.5" style="487" bestFit="1" customWidth="1"/>
    <col min="5380" max="5380" width="9.75" style="487" bestFit="1" customWidth="1"/>
    <col min="5381" max="5381" width="9.875" style="487" bestFit="1" customWidth="1"/>
    <col min="5382" max="5382" width="9.75" style="487" bestFit="1" customWidth="1"/>
    <col min="5383" max="5383" width="9.875" style="487" bestFit="1" customWidth="1"/>
    <col min="5384" max="5384" width="9.75" style="487" bestFit="1" customWidth="1"/>
    <col min="5385" max="5385" width="9.875" style="487" bestFit="1" customWidth="1"/>
    <col min="5386" max="5387" width="10" style="487" bestFit="1" customWidth="1"/>
    <col min="5388" max="5388" width="9.875" style="487" bestFit="1" customWidth="1"/>
    <col min="5389" max="5389" width="9.75" style="487" bestFit="1" customWidth="1"/>
    <col min="5390" max="5390" width="9.875" style="487" bestFit="1" customWidth="1"/>
    <col min="5391" max="5391" width="10.375" style="487" customWidth="1"/>
    <col min="5392" max="5392" width="9.625" style="487" customWidth="1"/>
    <col min="5393" max="5393" width="12.625" style="487" customWidth="1"/>
    <col min="5394" max="5632" width="9" style="487"/>
    <col min="5633" max="5633" width="22.5" style="487" customWidth="1"/>
    <col min="5634" max="5634" width="10.75" style="487" bestFit="1" customWidth="1"/>
    <col min="5635" max="5635" width="10.5" style="487" bestFit="1" customWidth="1"/>
    <col min="5636" max="5636" width="9.75" style="487" bestFit="1" customWidth="1"/>
    <col min="5637" max="5637" width="9.875" style="487" bestFit="1" customWidth="1"/>
    <col min="5638" max="5638" width="9.75" style="487" bestFit="1" customWidth="1"/>
    <col min="5639" max="5639" width="9.875" style="487" bestFit="1" customWidth="1"/>
    <col min="5640" max="5640" width="9.75" style="487" bestFit="1" customWidth="1"/>
    <col min="5641" max="5641" width="9.875" style="487" bestFit="1" customWidth="1"/>
    <col min="5642" max="5643" width="10" style="487" bestFit="1" customWidth="1"/>
    <col min="5644" max="5644" width="9.875" style="487" bestFit="1" customWidth="1"/>
    <col min="5645" max="5645" width="9.75" style="487" bestFit="1" customWidth="1"/>
    <col min="5646" max="5646" width="9.875" style="487" bestFit="1" customWidth="1"/>
    <col min="5647" max="5647" width="10.375" style="487" customWidth="1"/>
    <col min="5648" max="5648" width="9.625" style="487" customWidth="1"/>
    <col min="5649" max="5649" width="12.625" style="487" customWidth="1"/>
    <col min="5650" max="5888" width="9" style="487"/>
    <col min="5889" max="5889" width="22.5" style="487" customWidth="1"/>
    <col min="5890" max="5890" width="10.75" style="487" bestFit="1" customWidth="1"/>
    <col min="5891" max="5891" width="10.5" style="487" bestFit="1" customWidth="1"/>
    <col min="5892" max="5892" width="9.75" style="487" bestFit="1" customWidth="1"/>
    <col min="5893" max="5893" width="9.875" style="487" bestFit="1" customWidth="1"/>
    <col min="5894" max="5894" width="9.75" style="487" bestFit="1" customWidth="1"/>
    <col min="5895" max="5895" width="9.875" style="487" bestFit="1" customWidth="1"/>
    <col min="5896" max="5896" width="9.75" style="487" bestFit="1" customWidth="1"/>
    <col min="5897" max="5897" width="9.875" style="487" bestFit="1" customWidth="1"/>
    <col min="5898" max="5899" width="10" style="487" bestFit="1" customWidth="1"/>
    <col min="5900" max="5900" width="9.875" style="487" bestFit="1" customWidth="1"/>
    <col min="5901" max="5901" width="9.75" style="487" bestFit="1" customWidth="1"/>
    <col min="5902" max="5902" width="9.875" style="487" bestFit="1" customWidth="1"/>
    <col min="5903" max="5903" width="10.375" style="487" customWidth="1"/>
    <col min="5904" max="5904" width="9.625" style="487" customWidth="1"/>
    <col min="5905" max="5905" width="12.625" style="487" customWidth="1"/>
    <col min="5906" max="6144" width="9" style="487"/>
    <col min="6145" max="6145" width="22.5" style="487" customWidth="1"/>
    <col min="6146" max="6146" width="10.75" style="487" bestFit="1" customWidth="1"/>
    <col min="6147" max="6147" width="10.5" style="487" bestFit="1" customWidth="1"/>
    <col min="6148" max="6148" width="9.75" style="487" bestFit="1" customWidth="1"/>
    <col min="6149" max="6149" width="9.875" style="487" bestFit="1" customWidth="1"/>
    <col min="6150" max="6150" width="9.75" style="487" bestFit="1" customWidth="1"/>
    <col min="6151" max="6151" width="9.875" style="487" bestFit="1" customWidth="1"/>
    <col min="6152" max="6152" width="9.75" style="487" bestFit="1" customWidth="1"/>
    <col min="6153" max="6153" width="9.875" style="487" bestFit="1" customWidth="1"/>
    <col min="6154" max="6155" width="10" style="487" bestFit="1" customWidth="1"/>
    <col min="6156" max="6156" width="9.875" style="487" bestFit="1" customWidth="1"/>
    <col min="6157" max="6157" width="9.75" style="487" bestFit="1" customWidth="1"/>
    <col min="6158" max="6158" width="9.875" style="487" bestFit="1" customWidth="1"/>
    <col min="6159" max="6159" width="10.375" style="487" customWidth="1"/>
    <col min="6160" max="6160" width="9.625" style="487" customWidth="1"/>
    <col min="6161" max="6161" width="12.625" style="487" customWidth="1"/>
    <col min="6162" max="6400" width="9" style="487"/>
    <col min="6401" max="6401" width="22.5" style="487" customWidth="1"/>
    <col min="6402" max="6402" width="10.75" style="487" bestFit="1" customWidth="1"/>
    <col min="6403" max="6403" width="10.5" style="487" bestFit="1" customWidth="1"/>
    <col min="6404" max="6404" width="9.75" style="487" bestFit="1" customWidth="1"/>
    <col min="6405" max="6405" width="9.875" style="487" bestFit="1" customWidth="1"/>
    <col min="6406" max="6406" width="9.75" style="487" bestFit="1" customWidth="1"/>
    <col min="6407" max="6407" width="9.875" style="487" bestFit="1" customWidth="1"/>
    <col min="6408" max="6408" width="9.75" style="487" bestFit="1" customWidth="1"/>
    <col min="6409" max="6409" width="9.875" style="487" bestFit="1" customWidth="1"/>
    <col min="6410" max="6411" width="10" style="487" bestFit="1" customWidth="1"/>
    <col min="6412" max="6412" width="9.875" style="487" bestFit="1" customWidth="1"/>
    <col min="6413" max="6413" width="9.75" style="487" bestFit="1" customWidth="1"/>
    <col min="6414" max="6414" width="9.875" style="487" bestFit="1" customWidth="1"/>
    <col min="6415" max="6415" width="10.375" style="487" customWidth="1"/>
    <col min="6416" max="6416" width="9.625" style="487" customWidth="1"/>
    <col min="6417" max="6417" width="12.625" style="487" customWidth="1"/>
    <col min="6418" max="6656" width="9" style="487"/>
    <col min="6657" max="6657" width="22.5" style="487" customWidth="1"/>
    <col min="6658" max="6658" width="10.75" style="487" bestFit="1" customWidth="1"/>
    <col min="6659" max="6659" width="10.5" style="487" bestFit="1" customWidth="1"/>
    <col min="6660" max="6660" width="9.75" style="487" bestFit="1" customWidth="1"/>
    <col min="6661" max="6661" width="9.875" style="487" bestFit="1" customWidth="1"/>
    <col min="6662" max="6662" width="9.75" style="487" bestFit="1" customWidth="1"/>
    <col min="6663" max="6663" width="9.875" style="487" bestFit="1" customWidth="1"/>
    <col min="6664" max="6664" width="9.75" style="487" bestFit="1" customWidth="1"/>
    <col min="6665" max="6665" width="9.875" style="487" bestFit="1" customWidth="1"/>
    <col min="6666" max="6667" width="10" style="487" bestFit="1" customWidth="1"/>
    <col min="6668" max="6668" width="9.875" style="487" bestFit="1" customWidth="1"/>
    <col min="6669" max="6669" width="9.75" style="487" bestFit="1" customWidth="1"/>
    <col min="6670" max="6670" width="9.875" style="487" bestFit="1" customWidth="1"/>
    <col min="6671" max="6671" width="10.375" style="487" customWidth="1"/>
    <col min="6672" max="6672" width="9.625" style="487" customWidth="1"/>
    <col min="6673" max="6673" width="12.625" style="487" customWidth="1"/>
    <col min="6674" max="6912" width="9" style="487"/>
    <col min="6913" max="6913" width="22.5" style="487" customWidth="1"/>
    <col min="6914" max="6914" width="10.75" style="487" bestFit="1" customWidth="1"/>
    <col min="6915" max="6915" width="10.5" style="487" bestFit="1" customWidth="1"/>
    <col min="6916" max="6916" width="9.75" style="487" bestFit="1" customWidth="1"/>
    <col min="6917" max="6917" width="9.875" style="487" bestFit="1" customWidth="1"/>
    <col min="6918" max="6918" width="9.75" style="487" bestFit="1" customWidth="1"/>
    <col min="6919" max="6919" width="9.875" style="487" bestFit="1" customWidth="1"/>
    <col min="6920" max="6920" width="9.75" style="487" bestFit="1" customWidth="1"/>
    <col min="6921" max="6921" width="9.875" style="487" bestFit="1" customWidth="1"/>
    <col min="6922" max="6923" width="10" style="487" bestFit="1" customWidth="1"/>
    <col min="6924" max="6924" width="9.875" style="487" bestFit="1" customWidth="1"/>
    <col min="6925" max="6925" width="9.75" style="487" bestFit="1" customWidth="1"/>
    <col min="6926" max="6926" width="9.875" style="487" bestFit="1" customWidth="1"/>
    <col min="6927" max="6927" width="10.375" style="487" customWidth="1"/>
    <col min="6928" max="6928" width="9.625" style="487" customWidth="1"/>
    <col min="6929" max="6929" width="12.625" style="487" customWidth="1"/>
    <col min="6930" max="7168" width="9" style="487"/>
    <col min="7169" max="7169" width="22.5" style="487" customWidth="1"/>
    <col min="7170" max="7170" width="10.75" style="487" bestFit="1" customWidth="1"/>
    <col min="7171" max="7171" width="10.5" style="487" bestFit="1" customWidth="1"/>
    <col min="7172" max="7172" width="9.75" style="487" bestFit="1" customWidth="1"/>
    <col min="7173" max="7173" width="9.875" style="487" bestFit="1" customWidth="1"/>
    <col min="7174" max="7174" width="9.75" style="487" bestFit="1" customWidth="1"/>
    <col min="7175" max="7175" width="9.875" style="487" bestFit="1" customWidth="1"/>
    <col min="7176" max="7176" width="9.75" style="487" bestFit="1" customWidth="1"/>
    <col min="7177" max="7177" width="9.875" style="487" bestFit="1" customWidth="1"/>
    <col min="7178" max="7179" width="10" style="487" bestFit="1" customWidth="1"/>
    <col min="7180" max="7180" width="9.875" style="487" bestFit="1" customWidth="1"/>
    <col min="7181" max="7181" width="9.75" style="487" bestFit="1" customWidth="1"/>
    <col min="7182" max="7182" width="9.875" style="487" bestFit="1" customWidth="1"/>
    <col min="7183" max="7183" width="10.375" style="487" customWidth="1"/>
    <col min="7184" max="7184" width="9.625" style="487" customWidth="1"/>
    <col min="7185" max="7185" width="12.625" style="487" customWidth="1"/>
    <col min="7186" max="7424" width="9" style="487"/>
    <col min="7425" max="7425" width="22.5" style="487" customWidth="1"/>
    <col min="7426" max="7426" width="10.75" style="487" bestFit="1" customWidth="1"/>
    <col min="7427" max="7427" width="10.5" style="487" bestFit="1" customWidth="1"/>
    <col min="7428" max="7428" width="9.75" style="487" bestFit="1" customWidth="1"/>
    <col min="7429" max="7429" width="9.875" style="487" bestFit="1" customWidth="1"/>
    <col min="7430" max="7430" width="9.75" style="487" bestFit="1" customWidth="1"/>
    <col min="7431" max="7431" width="9.875" style="487" bestFit="1" customWidth="1"/>
    <col min="7432" max="7432" width="9.75" style="487" bestFit="1" customWidth="1"/>
    <col min="7433" max="7433" width="9.875" style="487" bestFit="1" customWidth="1"/>
    <col min="7434" max="7435" width="10" style="487" bestFit="1" customWidth="1"/>
    <col min="7436" max="7436" width="9.875" style="487" bestFit="1" customWidth="1"/>
    <col min="7437" max="7437" width="9.75" style="487" bestFit="1" customWidth="1"/>
    <col min="7438" max="7438" width="9.875" style="487" bestFit="1" customWidth="1"/>
    <col min="7439" max="7439" width="10.375" style="487" customWidth="1"/>
    <col min="7440" max="7440" width="9.625" style="487" customWidth="1"/>
    <col min="7441" max="7441" width="12.625" style="487" customWidth="1"/>
    <col min="7442" max="7680" width="9" style="487"/>
    <col min="7681" max="7681" width="22.5" style="487" customWidth="1"/>
    <col min="7682" max="7682" width="10.75" style="487" bestFit="1" customWidth="1"/>
    <col min="7683" max="7683" width="10.5" style="487" bestFit="1" customWidth="1"/>
    <col min="7684" max="7684" width="9.75" style="487" bestFit="1" customWidth="1"/>
    <col min="7685" max="7685" width="9.875" style="487" bestFit="1" customWidth="1"/>
    <col min="7686" max="7686" width="9.75" style="487" bestFit="1" customWidth="1"/>
    <col min="7687" max="7687" width="9.875" style="487" bestFit="1" customWidth="1"/>
    <col min="7688" max="7688" width="9.75" style="487" bestFit="1" customWidth="1"/>
    <col min="7689" max="7689" width="9.875" style="487" bestFit="1" customWidth="1"/>
    <col min="7690" max="7691" width="10" style="487" bestFit="1" customWidth="1"/>
    <col min="7692" max="7692" width="9.875" style="487" bestFit="1" customWidth="1"/>
    <col min="7693" max="7693" width="9.75" style="487" bestFit="1" customWidth="1"/>
    <col min="7694" max="7694" width="9.875" style="487" bestFit="1" customWidth="1"/>
    <col min="7695" max="7695" width="10.375" style="487" customWidth="1"/>
    <col min="7696" max="7696" width="9.625" style="487" customWidth="1"/>
    <col min="7697" max="7697" width="12.625" style="487" customWidth="1"/>
    <col min="7698" max="7936" width="9" style="487"/>
    <col min="7937" max="7937" width="22.5" style="487" customWidth="1"/>
    <col min="7938" max="7938" width="10.75" style="487" bestFit="1" customWidth="1"/>
    <col min="7939" max="7939" width="10.5" style="487" bestFit="1" customWidth="1"/>
    <col min="7940" max="7940" width="9.75" style="487" bestFit="1" customWidth="1"/>
    <col min="7941" max="7941" width="9.875" style="487" bestFit="1" customWidth="1"/>
    <col min="7942" max="7942" width="9.75" style="487" bestFit="1" customWidth="1"/>
    <col min="7943" max="7943" width="9.875" style="487" bestFit="1" customWidth="1"/>
    <col min="7944" max="7944" width="9.75" style="487" bestFit="1" customWidth="1"/>
    <col min="7945" max="7945" width="9.875" style="487" bestFit="1" customWidth="1"/>
    <col min="7946" max="7947" width="10" style="487" bestFit="1" customWidth="1"/>
    <col min="7948" max="7948" width="9.875" style="487" bestFit="1" customWidth="1"/>
    <col min="7949" max="7949" width="9.75" style="487" bestFit="1" customWidth="1"/>
    <col min="7950" max="7950" width="9.875" style="487" bestFit="1" customWidth="1"/>
    <col min="7951" max="7951" width="10.375" style="487" customWidth="1"/>
    <col min="7952" max="7952" width="9.625" style="487" customWidth="1"/>
    <col min="7953" max="7953" width="12.625" style="487" customWidth="1"/>
    <col min="7954" max="8192" width="9" style="487"/>
    <col min="8193" max="8193" width="22.5" style="487" customWidth="1"/>
    <col min="8194" max="8194" width="10.75" style="487" bestFit="1" customWidth="1"/>
    <col min="8195" max="8195" width="10.5" style="487" bestFit="1" customWidth="1"/>
    <col min="8196" max="8196" width="9.75" style="487" bestFit="1" customWidth="1"/>
    <col min="8197" max="8197" width="9.875" style="487" bestFit="1" customWidth="1"/>
    <col min="8198" max="8198" width="9.75" style="487" bestFit="1" customWidth="1"/>
    <col min="8199" max="8199" width="9.875" style="487" bestFit="1" customWidth="1"/>
    <col min="8200" max="8200" width="9.75" style="487" bestFit="1" customWidth="1"/>
    <col min="8201" max="8201" width="9.875" style="487" bestFit="1" customWidth="1"/>
    <col min="8202" max="8203" width="10" style="487" bestFit="1" customWidth="1"/>
    <col min="8204" max="8204" width="9.875" style="487" bestFit="1" customWidth="1"/>
    <col min="8205" max="8205" width="9.75" style="487" bestFit="1" customWidth="1"/>
    <col min="8206" max="8206" width="9.875" style="487" bestFit="1" customWidth="1"/>
    <col min="8207" max="8207" width="10.375" style="487" customWidth="1"/>
    <col min="8208" max="8208" width="9.625" style="487" customWidth="1"/>
    <col min="8209" max="8209" width="12.625" style="487" customWidth="1"/>
    <col min="8210" max="8448" width="9" style="487"/>
    <col min="8449" max="8449" width="22.5" style="487" customWidth="1"/>
    <col min="8450" max="8450" width="10.75" style="487" bestFit="1" customWidth="1"/>
    <col min="8451" max="8451" width="10.5" style="487" bestFit="1" customWidth="1"/>
    <col min="8452" max="8452" width="9.75" style="487" bestFit="1" customWidth="1"/>
    <col min="8453" max="8453" width="9.875" style="487" bestFit="1" customWidth="1"/>
    <col min="8454" max="8454" width="9.75" style="487" bestFit="1" customWidth="1"/>
    <col min="8455" max="8455" width="9.875" style="487" bestFit="1" customWidth="1"/>
    <col min="8456" max="8456" width="9.75" style="487" bestFit="1" customWidth="1"/>
    <col min="8457" max="8457" width="9.875" style="487" bestFit="1" customWidth="1"/>
    <col min="8458" max="8459" width="10" style="487" bestFit="1" customWidth="1"/>
    <col min="8460" max="8460" width="9.875" style="487" bestFit="1" customWidth="1"/>
    <col min="8461" max="8461" width="9.75" style="487" bestFit="1" customWidth="1"/>
    <col min="8462" max="8462" width="9.875" style="487" bestFit="1" customWidth="1"/>
    <col min="8463" max="8463" width="10.375" style="487" customWidth="1"/>
    <col min="8464" max="8464" width="9.625" style="487" customWidth="1"/>
    <col min="8465" max="8465" width="12.625" style="487" customWidth="1"/>
    <col min="8466" max="8704" width="9" style="487"/>
    <col min="8705" max="8705" width="22.5" style="487" customWidth="1"/>
    <col min="8706" max="8706" width="10.75" style="487" bestFit="1" customWidth="1"/>
    <col min="8707" max="8707" width="10.5" style="487" bestFit="1" customWidth="1"/>
    <col min="8708" max="8708" width="9.75" style="487" bestFit="1" customWidth="1"/>
    <col min="8709" max="8709" width="9.875" style="487" bestFit="1" customWidth="1"/>
    <col min="8710" max="8710" width="9.75" style="487" bestFit="1" customWidth="1"/>
    <col min="8711" max="8711" width="9.875" style="487" bestFit="1" customWidth="1"/>
    <col min="8712" max="8712" width="9.75" style="487" bestFit="1" customWidth="1"/>
    <col min="8713" max="8713" width="9.875" style="487" bestFit="1" customWidth="1"/>
    <col min="8714" max="8715" width="10" style="487" bestFit="1" customWidth="1"/>
    <col min="8716" max="8716" width="9.875" style="487" bestFit="1" customWidth="1"/>
    <col min="8717" max="8717" width="9.75" style="487" bestFit="1" customWidth="1"/>
    <col min="8718" max="8718" width="9.875" style="487" bestFit="1" customWidth="1"/>
    <col min="8719" max="8719" width="10.375" style="487" customWidth="1"/>
    <col min="8720" max="8720" width="9.625" style="487" customWidth="1"/>
    <col min="8721" max="8721" width="12.625" style="487" customWidth="1"/>
    <col min="8722" max="8960" width="9" style="487"/>
    <col min="8961" max="8961" width="22.5" style="487" customWidth="1"/>
    <col min="8962" max="8962" width="10.75" style="487" bestFit="1" customWidth="1"/>
    <col min="8963" max="8963" width="10.5" style="487" bestFit="1" customWidth="1"/>
    <col min="8964" max="8964" width="9.75" style="487" bestFit="1" customWidth="1"/>
    <col min="8965" max="8965" width="9.875" style="487" bestFit="1" customWidth="1"/>
    <col min="8966" max="8966" width="9.75" style="487" bestFit="1" customWidth="1"/>
    <col min="8967" max="8967" width="9.875" style="487" bestFit="1" customWidth="1"/>
    <col min="8968" max="8968" width="9.75" style="487" bestFit="1" customWidth="1"/>
    <col min="8969" max="8969" width="9.875" style="487" bestFit="1" customWidth="1"/>
    <col min="8970" max="8971" width="10" style="487" bestFit="1" customWidth="1"/>
    <col min="8972" max="8972" width="9.875" style="487" bestFit="1" customWidth="1"/>
    <col min="8973" max="8973" width="9.75" style="487" bestFit="1" customWidth="1"/>
    <col min="8974" max="8974" width="9.875" style="487" bestFit="1" customWidth="1"/>
    <col min="8975" max="8975" width="10.375" style="487" customWidth="1"/>
    <col min="8976" max="8976" width="9.625" style="487" customWidth="1"/>
    <col min="8977" max="8977" width="12.625" style="487" customWidth="1"/>
    <col min="8978" max="9216" width="9" style="487"/>
    <col min="9217" max="9217" width="22.5" style="487" customWidth="1"/>
    <col min="9218" max="9218" width="10.75" style="487" bestFit="1" customWidth="1"/>
    <col min="9219" max="9219" width="10.5" style="487" bestFit="1" customWidth="1"/>
    <col min="9220" max="9220" width="9.75" style="487" bestFit="1" customWidth="1"/>
    <col min="9221" max="9221" width="9.875" style="487" bestFit="1" customWidth="1"/>
    <col min="9222" max="9222" width="9.75" style="487" bestFit="1" customWidth="1"/>
    <col min="9223" max="9223" width="9.875" style="487" bestFit="1" customWidth="1"/>
    <col min="9224" max="9224" width="9.75" style="487" bestFit="1" customWidth="1"/>
    <col min="9225" max="9225" width="9.875" style="487" bestFit="1" customWidth="1"/>
    <col min="9226" max="9227" width="10" style="487" bestFit="1" customWidth="1"/>
    <col min="9228" max="9228" width="9.875" style="487" bestFit="1" customWidth="1"/>
    <col min="9229" max="9229" width="9.75" style="487" bestFit="1" customWidth="1"/>
    <col min="9230" max="9230" width="9.875" style="487" bestFit="1" customWidth="1"/>
    <col min="9231" max="9231" width="10.375" style="487" customWidth="1"/>
    <col min="9232" max="9232" width="9.625" style="487" customWidth="1"/>
    <col min="9233" max="9233" width="12.625" style="487" customWidth="1"/>
    <col min="9234" max="9472" width="9" style="487"/>
    <col min="9473" max="9473" width="22.5" style="487" customWidth="1"/>
    <col min="9474" max="9474" width="10.75" style="487" bestFit="1" customWidth="1"/>
    <col min="9475" max="9475" width="10.5" style="487" bestFit="1" customWidth="1"/>
    <col min="9476" max="9476" width="9.75" style="487" bestFit="1" customWidth="1"/>
    <col min="9477" max="9477" width="9.875" style="487" bestFit="1" customWidth="1"/>
    <col min="9478" max="9478" width="9.75" style="487" bestFit="1" customWidth="1"/>
    <col min="9479" max="9479" width="9.875" style="487" bestFit="1" customWidth="1"/>
    <col min="9480" max="9480" width="9.75" style="487" bestFit="1" customWidth="1"/>
    <col min="9481" max="9481" width="9.875" style="487" bestFit="1" customWidth="1"/>
    <col min="9482" max="9483" width="10" style="487" bestFit="1" customWidth="1"/>
    <col min="9484" max="9484" width="9.875" style="487" bestFit="1" customWidth="1"/>
    <col min="9485" max="9485" width="9.75" style="487" bestFit="1" customWidth="1"/>
    <col min="9486" max="9486" width="9.875" style="487" bestFit="1" customWidth="1"/>
    <col min="9487" max="9487" width="10.375" style="487" customWidth="1"/>
    <col min="9488" max="9488" width="9.625" style="487" customWidth="1"/>
    <col min="9489" max="9489" width="12.625" style="487" customWidth="1"/>
    <col min="9490" max="9728" width="9" style="487"/>
    <col min="9729" max="9729" width="22.5" style="487" customWidth="1"/>
    <col min="9730" max="9730" width="10.75" style="487" bestFit="1" customWidth="1"/>
    <col min="9731" max="9731" width="10.5" style="487" bestFit="1" customWidth="1"/>
    <col min="9732" max="9732" width="9.75" style="487" bestFit="1" customWidth="1"/>
    <col min="9733" max="9733" width="9.875" style="487" bestFit="1" customWidth="1"/>
    <col min="9734" max="9734" width="9.75" style="487" bestFit="1" customWidth="1"/>
    <col min="9735" max="9735" width="9.875" style="487" bestFit="1" customWidth="1"/>
    <col min="9736" max="9736" width="9.75" style="487" bestFit="1" customWidth="1"/>
    <col min="9737" max="9737" width="9.875" style="487" bestFit="1" customWidth="1"/>
    <col min="9738" max="9739" width="10" style="487" bestFit="1" customWidth="1"/>
    <col min="9740" max="9740" width="9.875" style="487" bestFit="1" customWidth="1"/>
    <col min="9741" max="9741" width="9.75" style="487" bestFit="1" customWidth="1"/>
    <col min="9742" max="9742" width="9.875" style="487" bestFit="1" customWidth="1"/>
    <col min="9743" max="9743" width="10.375" style="487" customWidth="1"/>
    <col min="9744" max="9744" width="9.625" style="487" customWidth="1"/>
    <col min="9745" max="9745" width="12.625" style="487" customWidth="1"/>
    <col min="9746" max="9984" width="9" style="487"/>
    <col min="9985" max="9985" width="22.5" style="487" customWidth="1"/>
    <col min="9986" max="9986" width="10.75" style="487" bestFit="1" customWidth="1"/>
    <col min="9987" max="9987" width="10.5" style="487" bestFit="1" customWidth="1"/>
    <col min="9988" max="9988" width="9.75" style="487" bestFit="1" customWidth="1"/>
    <col min="9989" max="9989" width="9.875" style="487" bestFit="1" customWidth="1"/>
    <col min="9990" max="9990" width="9.75" style="487" bestFit="1" customWidth="1"/>
    <col min="9991" max="9991" width="9.875" style="487" bestFit="1" customWidth="1"/>
    <col min="9992" max="9992" width="9.75" style="487" bestFit="1" customWidth="1"/>
    <col min="9993" max="9993" width="9.875" style="487" bestFit="1" customWidth="1"/>
    <col min="9994" max="9995" width="10" style="487" bestFit="1" customWidth="1"/>
    <col min="9996" max="9996" width="9.875" style="487" bestFit="1" customWidth="1"/>
    <col min="9997" max="9997" width="9.75" style="487" bestFit="1" customWidth="1"/>
    <col min="9998" max="9998" width="9.875" style="487" bestFit="1" customWidth="1"/>
    <col min="9999" max="9999" width="10.375" style="487" customWidth="1"/>
    <col min="10000" max="10000" width="9.625" style="487" customWidth="1"/>
    <col min="10001" max="10001" width="12.625" style="487" customWidth="1"/>
    <col min="10002" max="10240" width="9" style="487"/>
    <col min="10241" max="10241" width="22.5" style="487" customWidth="1"/>
    <col min="10242" max="10242" width="10.75" style="487" bestFit="1" customWidth="1"/>
    <col min="10243" max="10243" width="10.5" style="487" bestFit="1" customWidth="1"/>
    <col min="10244" max="10244" width="9.75" style="487" bestFit="1" customWidth="1"/>
    <col min="10245" max="10245" width="9.875" style="487" bestFit="1" customWidth="1"/>
    <col min="10246" max="10246" width="9.75" style="487" bestFit="1" customWidth="1"/>
    <col min="10247" max="10247" width="9.875" style="487" bestFit="1" customWidth="1"/>
    <col min="10248" max="10248" width="9.75" style="487" bestFit="1" customWidth="1"/>
    <col min="10249" max="10249" width="9.875" style="487" bestFit="1" customWidth="1"/>
    <col min="10250" max="10251" width="10" style="487" bestFit="1" customWidth="1"/>
    <col min="10252" max="10252" width="9.875" style="487" bestFit="1" customWidth="1"/>
    <col min="10253" max="10253" width="9.75" style="487" bestFit="1" customWidth="1"/>
    <col min="10254" max="10254" width="9.875" style="487" bestFit="1" customWidth="1"/>
    <col min="10255" max="10255" width="10.375" style="487" customWidth="1"/>
    <col min="10256" max="10256" width="9.625" style="487" customWidth="1"/>
    <col min="10257" max="10257" width="12.625" style="487" customWidth="1"/>
    <col min="10258" max="10496" width="9" style="487"/>
    <col min="10497" max="10497" width="22.5" style="487" customWidth="1"/>
    <col min="10498" max="10498" width="10.75" style="487" bestFit="1" customWidth="1"/>
    <col min="10499" max="10499" width="10.5" style="487" bestFit="1" customWidth="1"/>
    <col min="10500" max="10500" width="9.75" style="487" bestFit="1" customWidth="1"/>
    <col min="10501" max="10501" width="9.875" style="487" bestFit="1" customWidth="1"/>
    <col min="10502" max="10502" width="9.75" style="487" bestFit="1" customWidth="1"/>
    <col min="10503" max="10503" width="9.875" style="487" bestFit="1" customWidth="1"/>
    <col min="10504" max="10504" width="9.75" style="487" bestFit="1" customWidth="1"/>
    <col min="10505" max="10505" width="9.875" style="487" bestFit="1" customWidth="1"/>
    <col min="10506" max="10507" width="10" style="487" bestFit="1" customWidth="1"/>
    <col min="10508" max="10508" width="9.875" style="487" bestFit="1" customWidth="1"/>
    <col min="10509" max="10509" width="9.75" style="487" bestFit="1" customWidth="1"/>
    <col min="10510" max="10510" width="9.875" style="487" bestFit="1" customWidth="1"/>
    <col min="10511" max="10511" width="10.375" style="487" customWidth="1"/>
    <col min="10512" max="10512" width="9.625" style="487" customWidth="1"/>
    <col min="10513" max="10513" width="12.625" style="487" customWidth="1"/>
    <col min="10514" max="10752" width="9" style="487"/>
    <col min="10753" max="10753" width="22.5" style="487" customWidth="1"/>
    <col min="10754" max="10754" width="10.75" style="487" bestFit="1" customWidth="1"/>
    <col min="10755" max="10755" width="10.5" style="487" bestFit="1" customWidth="1"/>
    <col min="10756" max="10756" width="9.75" style="487" bestFit="1" customWidth="1"/>
    <col min="10757" max="10757" width="9.875" style="487" bestFit="1" customWidth="1"/>
    <col min="10758" max="10758" width="9.75" style="487" bestFit="1" customWidth="1"/>
    <col min="10759" max="10759" width="9.875" style="487" bestFit="1" customWidth="1"/>
    <col min="10760" max="10760" width="9.75" style="487" bestFit="1" customWidth="1"/>
    <col min="10761" max="10761" width="9.875" style="487" bestFit="1" customWidth="1"/>
    <col min="10762" max="10763" width="10" style="487" bestFit="1" customWidth="1"/>
    <col min="10764" max="10764" width="9.875" style="487" bestFit="1" customWidth="1"/>
    <col min="10765" max="10765" width="9.75" style="487" bestFit="1" customWidth="1"/>
    <col min="10766" max="10766" width="9.875" style="487" bestFit="1" customWidth="1"/>
    <col min="10767" max="10767" width="10.375" style="487" customWidth="1"/>
    <col min="10768" max="10768" width="9.625" style="487" customWidth="1"/>
    <col min="10769" max="10769" width="12.625" style="487" customWidth="1"/>
    <col min="10770" max="11008" width="9" style="487"/>
    <col min="11009" max="11009" width="22.5" style="487" customWidth="1"/>
    <col min="11010" max="11010" width="10.75" style="487" bestFit="1" customWidth="1"/>
    <col min="11011" max="11011" width="10.5" style="487" bestFit="1" customWidth="1"/>
    <col min="11012" max="11012" width="9.75" style="487" bestFit="1" customWidth="1"/>
    <col min="11013" max="11013" width="9.875" style="487" bestFit="1" customWidth="1"/>
    <col min="11014" max="11014" width="9.75" style="487" bestFit="1" customWidth="1"/>
    <col min="11015" max="11015" width="9.875" style="487" bestFit="1" customWidth="1"/>
    <col min="11016" max="11016" width="9.75" style="487" bestFit="1" customWidth="1"/>
    <col min="11017" max="11017" width="9.875" style="487" bestFit="1" customWidth="1"/>
    <col min="11018" max="11019" width="10" style="487" bestFit="1" customWidth="1"/>
    <col min="11020" max="11020" width="9.875" style="487" bestFit="1" customWidth="1"/>
    <col min="11021" max="11021" width="9.75" style="487" bestFit="1" customWidth="1"/>
    <col min="11022" max="11022" width="9.875" style="487" bestFit="1" customWidth="1"/>
    <col min="11023" max="11023" width="10.375" style="487" customWidth="1"/>
    <col min="11024" max="11024" width="9.625" style="487" customWidth="1"/>
    <col min="11025" max="11025" width="12.625" style="487" customWidth="1"/>
    <col min="11026" max="11264" width="9" style="487"/>
    <col min="11265" max="11265" width="22.5" style="487" customWidth="1"/>
    <col min="11266" max="11266" width="10.75" style="487" bestFit="1" customWidth="1"/>
    <col min="11267" max="11267" width="10.5" style="487" bestFit="1" customWidth="1"/>
    <col min="11268" max="11268" width="9.75" style="487" bestFit="1" customWidth="1"/>
    <col min="11269" max="11269" width="9.875" style="487" bestFit="1" customWidth="1"/>
    <col min="11270" max="11270" width="9.75" style="487" bestFit="1" customWidth="1"/>
    <col min="11271" max="11271" width="9.875" style="487" bestFit="1" customWidth="1"/>
    <col min="11272" max="11272" width="9.75" style="487" bestFit="1" customWidth="1"/>
    <col min="11273" max="11273" width="9.875" style="487" bestFit="1" customWidth="1"/>
    <col min="11274" max="11275" width="10" style="487" bestFit="1" customWidth="1"/>
    <col min="11276" max="11276" width="9.875" style="487" bestFit="1" customWidth="1"/>
    <col min="11277" max="11277" width="9.75" style="487" bestFit="1" customWidth="1"/>
    <col min="11278" max="11278" width="9.875" style="487" bestFit="1" customWidth="1"/>
    <col min="11279" max="11279" width="10.375" style="487" customWidth="1"/>
    <col min="11280" max="11280" width="9.625" style="487" customWidth="1"/>
    <col min="11281" max="11281" width="12.625" style="487" customWidth="1"/>
    <col min="11282" max="11520" width="9" style="487"/>
    <col min="11521" max="11521" width="22.5" style="487" customWidth="1"/>
    <col min="11522" max="11522" width="10.75" style="487" bestFit="1" customWidth="1"/>
    <col min="11523" max="11523" width="10.5" style="487" bestFit="1" customWidth="1"/>
    <col min="11524" max="11524" width="9.75" style="487" bestFit="1" customWidth="1"/>
    <col min="11525" max="11525" width="9.875" style="487" bestFit="1" customWidth="1"/>
    <col min="11526" max="11526" width="9.75" style="487" bestFit="1" customWidth="1"/>
    <col min="11527" max="11527" width="9.875" style="487" bestFit="1" customWidth="1"/>
    <col min="11528" max="11528" width="9.75" style="487" bestFit="1" customWidth="1"/>
    <col min="11529" max="11529" width="9.875" style="487" bestFit="1" customWidth="1"/>
    <col min="11530" max="11531" width="10" style="487" bestFit="1" customWidth="1"/>
    <col min="11532" max="11532" width="9.875" style="487" bestFit="1" customWidth="1"/>
    <col min="11533" max="11533" width="9.75" style="487" bestFit="1" customWidth="1"/>
    <col min="11534" max="11534" width="9.875" style="487" bestFit="1" customWidth="1"/>
    <col min="11535" max="11535" width="10.375" style="487" customWidth="1"/>
    <col min="11536" max="11536" width="9.625" style="487" customWidth="1"/>
    <col min="11537" max="11537" width="12.625" style="487" customWidth="1"/>
    <col min="11538" max="11776" width="9" style="487"/>
    <col min="11777" max="11777" width="22.5" style="487" customWidth="1"/>
    <col min="11778" max="11778" width="10.75" style="487" bestFit="1" customWidth="1"/>
    <col min="11779" max="11779" width="10.5" style="487" bestFit="1" customWidth="1"/>
    <col min="11780" max="11780" width="9.75" style="487" bestFit="1" customWidth="1"/>
    <col min="11781" max="11781" width="9.875" style="487" bestFit="1" customWidth="1"/>
    <col min="11782" max="11782" width="9.75" style="487" bestFit="1" customWidth="1"/>
    <col min="11783" max="11783" width="9.875" style="487" bestFit="1" customWidth="1"/>
    <col min="11784" max="11784" width="9.75" style="487" bestFit="1" customWidth="1"/>
    <col min="11785" max="11785" width="9.875" style="487" bestFit="1" customWidth="1"/>
    <col min="11786" max="11787" width="10" style="487" bestFit="1" customWidth="1"/>
    <col min="11788" max="11788" width="9.875" style="487" bestFit="1" customWidth="1"/>
    <col min="11789" max="11789" width="9.75" style="487" bestFit="1" customWidth="1"/>
    <col min="11790" max="11790" width="9.875" style="487" bestFit="1" customWidth="1"/>
    <col min="11791" max="11791" width="10.375" style="487" customWidth="1"/>
    <col min="11792" max="11792" width="9.625" style="487" customWidth="1"/>
    <col min="11793" max="11793" width="12.625" style="487" customWidth="1"/>
    <col min="11794" max="12032" width="9" style="487"/>
    <col min="12033" max="12033" width="22.5" style="487" customWidth="1"/>
    <col min="12034" max="12034" width="10.75" style="487" bestFit="1" customWidth="1"/>
    <col min="12035" max="12035" width="10.5" style="487" bestFit="1" customWidth="1"/>
    <col min="12036" max="12036" width="9.75" style="487" bestFit="1" customWidth="1"/>
    <col min="12037" max="12037" width="9.875" style="487" bestFit="1" customWidth="1"/>
    <col min="12038" max="12038" width="9.75" style="487" bestFit="1" customWidth="1"/>
    <col min="12039" max="12039" width="9.875" style="487" bestFit="1" customWidth="1"/>
    <col min="12040" max="12040" width="9.75" style="487" bestFit="1" customWidth="1"/>
    <col min="12041" max="12041" width="9.875" style="487" bestFit="1" customWidth="1"/>
    <col min="12042" max="12043" width="10" style="487" bestFit="1" customWidth="1"/>
    <col min="12044" max="12044" width="9.875" style="487" bestFit="1" customWidth="1"/>
    <col min="12045" max="12045" width="9.75" style="487" bestFit="1" customWidth="1"/>
    <col min="12046" max="12046" width="9.875" style="487" bestFit="1" customWidth="1"/>
    <col min="12047" max="12047" width="10.375" style="487" customWidth="1"/>
    <col min="12048" max="12048" width="9.625" style="487" customWidth="1"/>
    <col min="12049" max="12049" width="12.625" style="487" customWidth="1"/>
    <col min="12050" max="12288" width="9" style="487"/>
    <col min="12289" max="12289" width="22.5" style="487" customWidth="1"/>
    <col min="12290" max="12290" width="10.75" style="487" bestFit="1" customWidth="1"/>
    <col min="12291" max="12291" width="10.5" style="487" bestFit="1" customWidth="1"/>
    <col min="12292" max="12292" width="9.75" style="487" bestFit="1" customWidth="1"/>
    <col min="12293" max="12293" width="9.875" style="487" bestFit="1" customWidth="1"/>
    <col min="12294" max="12294" width="9.75" style="487" bestFit="1" customWidth="1"/>
    <col min="12295" max="12295" width="9.875" style="487" bestFit="1" customWidth="1"/>
    <col min="12296" max="12296" width="9.75" style="487" bestFit="1" customWidth="1"/>
    <col min="12297" max="12297" width="9.875" style="487" bestFit="1" customWidth="1"/>
    <col min="12298" max="12299" width="10" style="487" bestFit="1" customWidth="1"/>
    <col min="12300" max="12300" width="9.875" style="487" bestFit="1" customWidth="1"/>
    <col min="12301" max="12301" width="9.75" style="487" bestFit="1" customWidth="1"/>
    <col min="12302" max="12302" width="9.875" style="487" bestFit="1" customWidth="1"/>
    <col min="12303" max="12303" width="10.375" style="487" customWidth="1"/>
    <col min="12304" max="12304" width="9.625" style="487" customWidth="1"/>
    <col min="12305" max="12305" width="12.625" style="487" customWidth="1"/>
    <col min="12306" max="12544" width="9" style="487"/>
    <col min="12545" max="12545" width="22.5" style="487" customWidth="1"/>
    <col min="12546" max="12546" width="10.75" style="487" bestFit="1" customWidth="1"/>
    <col min="12547" max="12547" width="10.5" style="487" bestFit="1" customWidth="1"/>
    <col min="12548" max="12548" width="9.75" style="487" bestFit="1" customWidth="1"/>
    <col min="12549" max="12549" width="9.875" style="487" bestFit="1" customWidth="1"/>
    <col min="12550" max="12550" width="9.75" style="487" bestFit="1" customWidth="1"/>
    <col min="12551" max="12551" width="9.875" style="487" bestFit="1" customWidth="1"/>
    <col min="12552" max="12552" width="9.75" style="487" bestFit="1" customWidth="1"/>
    <col min="12553" max="12553" width="9.875" style="487" bestFit="1" customWidth="1"/>
    <col min="12554" max="12555" width="10" style="487" bestFit="1" customWidth="1"/>
    <col min="12556" max="12556" width="9.875" style="487" bestFit="1" customWidth="1"/>
    <col min="12557" max="12557" width="9.75" style="487" bestFit="1" customWidth="1"/>
    <col min="12558" max="12558" width="9.875" style="487" bestFit="1" customWidth="1"/>
    <col min="12559" max="12559" width="10.375" style="487" customWidth="1"/>
    <col min="12560" max="12560" width="9.625" style="487" customWidth="1"/>
    <col min="12561" max="12561" width="12.625" style="487" customWidth="1"/>
    <col min="12562" max="12800" width="9" style="487"/>
    <col min="12801" max="12801" width="22.5" style="487" customWidth="1"/>
    <col min="12802" max="12802" width="10.75" style="487" bestFit="1" customWidth="1"/>
    <col min="12803" max="12803" width="10.5" style="487" bestFit="1" customWidth="1"/>
    <col min="12804" max="12804" width="9.75" style="487" bestFit="1" customWidth="1"/>
    <col min="12805" max="12805" width="9.875" style="487" bestFit="1" customWidth="1"/>
    <col min="12806" max="12806" width="9.75" style="487" bestFit="1" customWidth="1"/>
    <col min="12807" max="12807" width="9.875" style="487" bestFit="1" customWidth="1"/>
    <col min="12808" max="12808" width="9.75" style="487" bestFit="1" customWidth="1"/>
    <col min="12809" max="12809" width="9.875" style="487" bestFit="1" customWidth="1"/>
    <col min="12810" max="12811" width="10" style="487" bestFit="1" customWidth="1"/>
    <col min="12812" max="12812" width="9.875" style="487" bestFit="1" customWidth="1"/>
    <col min="12813" max="12813" width="9.75" style="487" bestFit="1" customWidth="1"/>
    <col min="12814" max="12814" width="9.875" style="487" bestFit="1" customWidth="1"/>
    <col min="12815" max="12815" width="10.375" style="487" customWidth="1"/>
    <col min="12816" max="12816" width="9.625" style="487" customWidth="1"/>
    <col min="12817" max="12817" width="12.625" style="487" customWidth="1"/>
    <col min="12818" max="13056" width="9" style="487"/>
    <col min="13057" max="13057" width="22.5" style="487" customWidth="1"/>
    <col min="13058" max="13058" width="10.75" style="487" bestFit="1" customWidth="1"/>
    <col min="13059" max="13059" width="10.5" style="487" bestFit="1" customWidth="1"/>
    <col min="13060" max="13060" width="9.75" style="487" bestFit="1" customWidth="1"/>
    <col min="13061" max="13061" width="9.875" style="487" bestFit="1" customWidth="1"/>
    <col min="13062" max="13062" width="9.75" style="487" bestFit="1" customWidth="1"/>
    <col min="13063" max="13063" width="9.875" style="487" bestFit="1" customWidth="1"/>
    <col min="13064" max="13064" width="9.75" style="487" bestFit="1" customWidth="1"/>
    <col min="13065" max="13065" width="9.875" style="487" bestFit="1" customWidth="1"/>
    <col min="13066" max="13067" width="10" style="487" bestFit="1" customWidth="1"/>
    <col min="13068" max="13068" width="9.875" style="487" bestFit="1" customWidth="1"/>
    <col min="13069" max="13069" width="9.75" style="487" bestFit="1" customWidth="1"/>
    <col min="13070" max="13070" width="9.875" style="487" bestFit="1" customWidth="1"/>
    <col min="13071" max="13071" width="10.375" style="487" customWidth="1"/>
    <col min="13072" max="13072" width="9.625" style="487" customWidth="1"/>
    <col min="13073" max="13073" width="12.625" style="487" customWidth="1"/>
    <col min="13074" max="13312" width="9" style="487"/>
    <col min="13313" max="13313" width="22.5" style="487" customWidth="1"/>
    <col min="13314" max="13314" width="10.75" style="487" bestFit="1" customWidth="1"/>
    <col min="13315" max="13315" width="10.5" style="487" bestFit="1" customWidth="1"/>
    <col min="13316" max="13316" width="9.75" style="487" bestFit="1" customWidth="1"/>
    <col min="13317" max="13317" width="9.875" style="487" bestFit="1" customWidth="1"/>
    <col min="13318" max="13318" width="9.75" style="487" bestFit="1" customWidth="1"/>
    <col min="13319" max="13319" width="9.875" style="487" bestFit="1" customWidth="1"/>
    <col min="13320" max="13320" width="9.75" style="487" bestFit="1" customWidth="1"/>
    <col min="13321" max="13321" width="9.875" style="487" bestFit="1" customWidth="1"/>
    <col min="13322" max="13323" width="10" style="487" bestFit="1" customWidth="1"/>
    <col min="13324" max="13324" width="9.875" style="487" bestFit="1" customWidth="1"/>
    <col min="13325" max="13325" width="9.75" style="487" bestFit="1" customWidth="1"/>
    <col min="13326" max="13326" width="9.875" style="487" bestFit="1" customWidth="1"/>
    <col min="13327" max="13327" width="10.375" style="487" customWidth="1"/>
    <col min="13328" max="13328" width="9.625" style="487" customWidth="1"/>
    <col min="13329" max="13329" width="12.625" style="487" customWidth="1"/>
    <col min="13330" max="13568" width="9" style="487"/>
    <col min="13569" max="13569" width="22.5" style="487" customWidth="1"/>
    <col min="13570" max="13570" width="10.75" style="487" bestFit="1" customWidth="1"/>
    <col min="13571" max="13571" width="10.5" style="487" bestFit="1" customWidth="1"/>
    <col min="13572" max="13572" width="9.75" style="487" bestFit="1" customWidth="1"/>
    <col min="13573" max="13573" width="9.875" style="487" bestFit="1" customWidth="1"/>
    <col min="13574" max="13574" width="9.75" style="487" bestFit="1" customWidth="1"/>
    <col min="13575" max="13575" width="9.875" style="487" bestFit="1" customWidth="1"/>
    <col min="13576" max="13576" width="9.75" style="487" bestFit="1" customWidth="1"/>
    <col min="13577" max="13577" width="9.875" style="487" bestFit="1" customWidth="1"/>
    <col min="13578" max="13579" width="10" style="487" bestFit="1" customWidth="1"/>
    <col min="13580" max="13580" width="9.875" style="487" bestFit="1" customWidth="1"/>
    <col min="13581" max="13581" width="9.75" style="487" bestFit="1" customWidth="1"/>
    <col min="13582" max="13582" width="9.875" style="487" bestFit="1" customWidth="1"/>
    <col min="13583" max="13583" width="10.375" style="487" customWidth="1"/>
    <col min="13584" max="13584" width="9.625" style="487" customWidth="1"/>
    <col min="13585" max="13585" width="12.625" style="487" customWidth="1"/>
    <col min="13586" max="13824" width="9" style="487"/>
    <col min="13825" max="13825" width="22.5" style="487" customWidth="1"/>
    <col min="13826" max="13826" width="10.75" style="487" bestFit="1" customWidth="1"/>
    <col min="13827" max="13827" width="10.5" style="487" bestFit="1" customWidth="1"/>
    <col min="13828" max="13828" width="9.75" style="487" bestFit="1" customWidth="1"/>
    <col min="13829" max="13829" width="9.875" style="487" bestFit="1" customWidth="1"/>
    <col min="13830" max="13830" width="9.75" style="487" bestFit="1" customWidth="1"/>
    <col min="13831" max="13831" width="9.875" style="487" bestFit="1" customWidth="1"/>
    <col min="13832" max="13832" width="9.75" style="487" bestFit="1" customWidth="1"/>
    <col min="13833" max="13833" width="9.875" style="487" bestFit="1" customWidth="1"/>
    <col min="13834" max="13835" width="10" style="487" bestFit="1" customWidth="1"/>
    <col min="13836" max="13836" width="9.875" style="487" bestFit="1" customWidth="1"/>
    <col min="13837" max="13837" width="9.75" style="487" bestFit="1" customWidth="1"/>
    <col min="13838" max="13838" width="9.875" style="487" bestFit="1" customWidth="1"/>
    <col min="13839" max="13839" width="10.375" style="487" customWidth="1"/>
    <col min="13840" max="13840" width="9.625" style="487" customWidth="1"/>
    <col min="13841" max="13841" width="12.625" style="487" customWidth="1"/>
    <col min="13842" max="14080" width="9" style="487"/>
    <col min="14081" max="14081" width="22.5" style="487" customWidth="1"/>
    <col min="14082" max="14082" width="10.75" style="487" bestFit="1" customWidth="1"/>
    <col min="14083" max="14083" width="10.5" style="487" bestFit="1" customWidth="1"/>
    <col min="14084" max="14084" width="9.75" style="487" bestFit="1" customWidth="1"/>
    <col min="14085" max="14085" width="9.875" style="487" bestFit="1" customWidth="1"/>
    <col min="14086" max="14086" width="9.75" style="487" bestFit="1" customWidth="1"/>
    <col min="14087" max="14087" width="9.875" style="487" bestFit="1" customWidth="1"/>
    <col min="14088" max="14088" width="9.75" style="487" bestFit="1" customWidth="1"/>
    <col min="14089" max="14089" width="9.875" style="487" bestFit="1" customWidth="1"/>
    <col min="14090" max="14091" width="10" style="487" bestFit="1" customWidth="1"/>
    <col min="14092" max="14092" width="9.875" style="487" bestFit="1" customWidth="1"/>
    <col min="14093" max="14093" width="9.75" style="487" bestFit="1" customWidth="1"/>
    <col min="14094" max="14094" width="9.875" style="487" bestFit="1" customWidth="1"/>
    <col min="14095" max="14095" width="10.375" style="487" customWidth="1"/>
    <col min="14096" max="14096" width="9.625" style="487" customWidth="1"/>
    <col min="14097" max="14097" width="12.625" style="487" customWidth="1"/>
    <col min="14098" max="14336" width="9" style="487"/>
    <col min="14337" max="14337" width="22.5" style="487" customWidth="1"/>
    <col min="14338" max="14338" width="10.75" style="487" bestFit="1" customWidth="1"/>
    <col min="14339" max="14339" width="10.5" style="487" bestFit="1" customWidth="1"/>
    <col min="14340" max="14340" width="9.75" style="487" bestFit="1" customWidth="1"/>
    <col min="14341" max="14341" width="9.875" style="487" bestFit="1" customWidth="1"/>
    <col min="14342" max="14342" width="9.75" style="487" bestFit="1" customWidth="1"/>
    <col min="14343" max="14343" width="9.875" style="487" bestFit="1" customWidth="1"/>
    <col min="14344" max="14344" width="9.75" style="487" bestFit="1" customWidth="1"/>
    <col min="14345" max="14345" width="9.875" style="487" bestFit="1" customWidth="1"/>
    <col min="14346" max="14347" width="10" style="487" bestFit="1" customWidth="1"/>
    <col min="14348" max="14348" width="9.875" style="487" bestFit="1" customWidth="1"/>
    <col min="14349" max="14349" width="9.75" style="487" bestFit="1" customWidth="1"/>
    <col min="14350" max="14350" width="9.875" style="487" bestFit="1" customWidth="1"/>
    <col min="14351" max="14351" width="10.375" style="487" customWidth="1"/>
    <col min="14352" max="14352" width="9.625" style="487" customWidth="1"/>
    <col min="14353" max="14353" width="12.625" style="487" customWidth="1"/>
    <col min="14354" max="14592" width="9" style="487"/>
    <col min="14593" max="14593" width="22.5" style="487" customWidth="1"/>
    <col min="14594" max="14594" width="10.75" style="487" bestFit="1" customWidth="1"/>
    <col min="14595" max="14595" width="10.5" style="487" bestFit="1" customWidth="1"/>
    <col min="14596" max="14596" width="9.75" style="487" bestFit="1" customWidth="1"/>
    <col min="14597" max="14597" width="9.875" style="487" bestFit="1" customWidth="1"/>
    <col min="14598" max="14598" width="9.75" style="487" bestFit="1" customWidth="1"/>
    <col min="14599" max="14599" width="9.875" style="487" bestFit="1" customWidth="1"/>
    <col min="14600" max="14600" width="9.75" style="487" bestFit="1" customWidth="1"/>
    <col min="14601" max="14601" width="9.875" style="487" bestFit="1" customWidth="1"/>
    <col min="14602" max="14603" width="10" style="487" bestFit="1" customWidth="1"/>
    <col min="14604" max="14604" width="9.875" style="487" bestFit="1" customWidth="1"/>
    <col min="14605" max="14605" width="9.75" style="487" bestFit="1" customWidth="1"/>
    <col min="14606" max="14606" width="9.875" style="487" bestFit="1" customWidth="1"/>
    <col min="14607" max="14607" width="10.375" style="487" customWidth="1"/>
    <col min="14608" max="14608" width="9.625" style="487" customWidth="1"/>
    <col min="14609" max="14609" width="12.625" style="487" customWidth="1"/>
    <col min="14610" max="14848" width="9" style="487"/>
    <col min="14849" max="14849" width="22.5" style="487" customWidth="1"/>
    <col min="14850" max="14850" width="10.75" style="487" bestFit="1" customWidth="1"/>
    <col min="14851" max="14851" width="10.5" style="487" bestFit="1" customWidth="1"/>
    <col min="14852" max="14852" width="9.75" style="487" bestFit="1" customWidth="1"/>
    <col min="14853" max="14853" width="9.875" style="487" bestFit="1" customWidth="1"/>
    <col min="14854" max="14854" width="9.75" style="487" bestFit="1" customWidth="1"/>
    <col min="14855" max="14855" width="9.875" style="487" bestFit="1" customWidth="1"/>
    <col min="14856" max="14856" width="9.75" style="487" bestFit="1" customWidth="1"/>
    <col min="14857" max="14857" width="9.875" style="487" bestFit="1" customWidth="1"/>
    <col min="14858" max="14859" width="10" style="487" bestFit="1" customWidth="1"/>
    <col min="14860" max="14860" width="9.875" style="487" bestFit="1" customWidth="1"/>
    <col min="14861" max="14861" width="9.75" style="487" bestFit="1" customWidth="1"/>
    <col min="14862" max="14862" width="9.875" style="487" bestFit="1" customWidth="1"/>
    <col min="14863" max="14863" width="10.375" style="487" customWidth="1"/>
    <col min="14864" max="14864" width="9.625" style="487" customWidth="1"/>
    <col min="14865" max="14865" width="12.625" style="487" customWidth="1"/>
    <col min="14866" max="15104" width="9" style="487"/>
    <col min="15105" max="15105" width="22.5" style="487" customWidth="1"/>
    <col min="15106" max="15106" width="10.75" style="487" bestFit="1" customWidth="1"/>
    <col min="15107" max="15107" width="10.5" style="487" bestFit="1" customWidth="1"/>
    <col min="15108" max="15108" width="9.75" style="487" bestFit="1" customWidth="1"/>
    <col min="15109" max="15109" width="9.875" style="487" bestFit="1" customWidth="1"/>
    <col min="15110" max="15110" width="9.75" style="487" bestFit="1" customWidth="1"/>
    <col min="15111" max="15111" width="9.875" style="487" bestFit="1" customWidth="1"/>
    <col min="15112" max="15112" width="9.75" style="487" bestFit="1" customWidth="1"/>
    <col min="15113" max="15113" width="9.875" style="487" bestFit="1" customWidth="1"/>
    <col min="15114" max="15115" width="10" style="487" bestFit="1" customWidth="1"/>
    <col min="15116" max="15116" width="9.875" style="487" bestFit="1" customWidth="1"/>
    <col min="15117" max="15117" width="9.75" style="487" bestFit="1" customWidth="1"/>
    <col min="15118" max="15118" width="9.875" style="487" bestFit="1" customWidth="1"/>
    <col min="15119" max="15119" width="10.375" style="487" customWidth="1"/>
    <col min="15120" max="15120" width="9.625" style="487" customWidth="1"/>
    <col min="15121" max="15121" width="12.625" style="487" customWidth="1"/>
    <col min="15122" max="15360" width="9" style="487"/>
    <col min="15361" max="15361" width="22.5" style="487" customWidth="1"/>
    <col min="15362" max="15362" width="10.75" style="487" bestFit="1" customWidth="1"/>
    <col min="15363" max="15363" width="10.5" style="487" bestFit="1" customWidth="1"/>
    <col min="15364" max="15364" width="9.75" style="487" bestFit="1" customWidth="1"/>
    <col min="15365" max="15365" width="9.875" style="487" bestFit="1" customWidth="1"/>
    <col min="15366" max="15366" width="9.75" style="487" bestFit="1" customWidth="1"/>
    <col min="15367" max="15367" width="9.875" style="487" bestFit="1" customWidth="1"/>
    <col min="15368" max="15368" width="9.75" style="487" bestFit="1" customWidth="1"/>
    <col min="15369" max="15369" width="9.875" style="487" bestFit="1" customWidth="1"/>
    <col min="15370" max="15371" width="10" style="487" bestFit="1" customWidth="1"/>
    <col min="15372" max="15372" width="9.875" style="487" bestFit="1" customWidth="1"/>
    <col min="15373" max="15373" width="9.75" style="487" bestFit="1" customWidth="1"/>
    <col min="15374" max="15374" width="9.875" style="487" bestFit="1" customWidth="1"/>
    <col min="15375" max="15375" width="10.375" style="487" customWidth="1"/>
    <col min="15376" max="15376" width="9.625" style="487" customWidth="1"/>
    <col min="15377" max="15377" width="12.625" style="487" customWidth="1"/>
    <col min="15378" max="15616" width="9" style="487"/>
    <col min="15617" max="15617" width="22.5" style="487" customWidth="1"/>
    <col min="15618" max="15618" width="10.75" style="487" bestFit="1" customWidth="1"/>
    <col min="15619" max="15619" width="10.5" style="487" bestFit="1" customWidth="1"/>
    <col min="15620" max="15620" width="9.75" style="487" bestFit="1" customWidth="1"/>
    <col min="15621" max="15621" width="9.875" style="487" bestFit="1" customWidth="1"/>
    <col min="15622" max="15622" width="9.75" style="487" bestFit="1" customWidth="1"/>
    <col min="15623" max="15623" width="9.875" style="487" bestFit="1" customWidth="1"/>
    <col min="15624" max="15624" width="9.75" style="487" bestFit="1" customWidth="1"/>
    <col min="15625" max="15625" width="9.875" style="487" bestFit="1" customWidth="1"/>
    <col min="15626" max="15627" width="10" style="487" bestFit="1" customWidth="1"/>
    <col min="15628" max="15628" width="9.875" style="487" bestFit="1" customWidth="1"/>
    <col min="15629" max="15629" width="9.75" style="487" bestFit="1" customWidth="1"/>
    <col min="15630" max="15630" width="9.875" style="487" bestFit="1" customWidth="1"/>
    <col min="15631" max="15631" width="10.375" style="487" customWidth="1"/>
    <col min="15632" max="15632" width="9.625" style="487" customWidth="1"/>
    <col min="15633" max="15633" width="12.625" style="487" customWidth="1"/>
    <col min="15634" max="15872" width="9" style="487"/>
    <col min="15873" max="15873" width="22.5" style="487" customWidth="1"/>
    <col min="15874" max="15874" width="10.75" style="487" bestFit="1" customWidth="1"/>
    <col min="15875" max="15875" width="10.5" style="487" bestFit="1" customWidth="1"/>
    <col min="15876" max="15876" width="9.75" style="487" bestFit="1" customWidth="1"/>
    <col min="15877" max="15877" width="9.875" style="487" bestFit="1" customWidth="1"/>
    <col min="15878" max="15878" width="9.75" style="487" bestFit="1" customWidth="1"/>
    <col min="15879" max="15879" width="9.875" style="487" bestFit="1" customWidth="1"/>
    <col min="15880" max="15880" width="9.75" style="487" bestFit="1" customWidth="1"/>
    <col min="15881" max="15881" width="9.875" style="487" bestFit="1" customWidth="1"/>
    <col min="15882" max="15883" width="10" style="487" bestFit="1" customWidth="1"/>
    <col min="15884" max="15884" width="9.875" style="487" bestFit="1" customWidth="1"/>
    <col min="15885" max="15885" width="9.75" style="487" bestFit="1" customWidth="1"/>
    <col min="15886" max="15886" width="9.875" style="487" bestFit="1" customWidth="1"/>
    <col min="15887" max="15887" width="10.375" style="487" customWidth="1"/>
    <col min="15888" max="15888" width="9.625" style="487" customWidth="1"/>
    <col min="15889" max="15889" width="12.625" style="487" customWidth="1"/>
    <col min="15890" max="16128" width="9" style="487"/>
    <col min="16129" max="16129" width="22.5" style="487" customWidth="1"/>
    <col min="16130" max="16130" width="10.75" style="487" bestFit="1" customWidth="1"/>
    <col min="16131" max="16131" width="10.5" style="487" bestFit="1" customWidth="1"/>
    <col min="16132" max="16132" width="9.75" style="487" bestFit="1" customWidth="1"/>
    <col min="16133" max="16133" width="9.875" style="487" bestFit="1" customWidth="1"/>
    <col min="16134" max="16134" width="9.75" style="487" bestFit="1" customWidth="1"/>
    <col min="16135" max="16135" width="9.875" style="487" bestFit="1" customWidth="1"/>
    <col min="16136" max="16136" width="9.75" style="487" bestFit="1" customWidth="1"/>
    <col min="16137" max="16137" width="9.875" style="487" bestFit="1" customWidth="1"/>
    <col min="16138" max="16139" width="10" style="487" bestFit="1" customWidth="1"/>
    <col min="16140" max="16140" width="9.875" style="487" bestFit="1" customWidth="1"/>
    <col min="16141" max="16141" width="9.75" style="487" bestFit="1" customWidth="1"/>
    <col min="16142" max="16142" width="9.875" style="487" bestFit="1" customWidth="1"/>
    <col min="16143" max="16143" width="10.375" style="487" customWidth="1"/>
    <col min="16144" max="16144" width="9.625" style="487" customWidth="1"/>
    <col min="16145" max="16145" width="12.625" style="487" customWidth="1"/>
    <col min="16146" max="16384" width="9" style="487"/>
  </cols>
  <sheetData>
    <row r="1" spans="1:18" ht="21">
      <c r="A1" s="464" t="s">
        <v>189</v>
      </c>
      <c r="B1" s="464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64"/>
    </row>
    <row r="2" spans="1:18" ht="21">
      <c r="A2" s="464" t="s">
        <v>654</v>
      </c>
      <c r="B2" s="464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64"/>
    </row>
    <row r="3" spans="1:18" ht="21">
      <c r="A3" s="464" t="str">
        <f>+[27]สรุป!A3</f>
        <v>ณ วันที่ 31 ธันวาคม 2565</v>
      </c>
      <c r="B3" s="464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64"/>
    </row>
    <row r="5" spans="1:18">
      <c r="A5" s="1119" t="s">
        <v>655</v>
      </c>
      <c r="B5" s="1120"/>
      <c r="C5" s="1121" t="s">
        <v>656</v>
      </c>
      <c r="D5" s="1122"/>
      <c r="E5" s="1122"/>
      <c r="F5" s="1122"/>
      <c r="G5" s="1122"/>
      <c r="H5" s="1122"/>
      <c r="I5" s="1122"/>
      <c r="J5" s="1122"/>
      <c r="K5" s="1122"/>
      <c r="L5" s="1122"/>
      <c r="M5" s="1122"/>
      <c r="N5" s="1122"/>
      <c r="O5" s="1123" t="s">
        <v>657</v>
      </c>
      <c r="P5" s="1125" t="s">
        <v>658</v>
      </c>
    </row>
    <row r="6" spans="1:18">
      <c r="A6" s="490" t="s">
        <v>659</v>
      </c>
      <c r="B6" s="491" t="s">
        <v>119</v>
      </c>
      <c r="C6" s="492" t="s">
        <v>471</v>
      </c>
      <c r="D6" s="492" t="s">
        <v>488</v>
      </c>
      <c r="E6" s="492" t="s">
        <v>499</v>
      </c>
      <c r="F6" s="492" t="s">
        <v>510</v>
      </c>
      <c r="G6" s="492" t="s">
        <v>527</v>
      </c>
      <c r="H6" s="492" t="s">
        <v>544</v>
      </c>
      <c r="I6" s="492" t="s">
        <v>561</v>
      </c>
      <c r="J6" s="492" t="s">
        <v>570</v>
      </c>
      <c r="K6" s="492" t="s">
        <v>585</v>
      </c>
      <c r="L6" s="492" t="s">
        <v>594</v>
      </c>
      <c r="M6" s="492" t="s">
        <v>605</v>
      </c>
      <c r="N6" s="492" t="s">
        <v>620</v>
      </c>
      <c r="O6" s="1124"/>
      <c r="P6" s="1126"/>
      <c r="Q6" s="493"/>
    </row>
    <row r="7" spans="1:18">
      <c r="A7" s="494" t="s">
        <v>11</v>
      </c>
      <c r="B7" s="495">
        <f>SUM(B8:B17)</f>
        <v>3975084</v>
      </c>
      <c r="C7" s="495"/>
      <c r="D7" s="495">
        <f t="shared" ref="D7:O7" si="0">SUM(D8:D141)</f>
        <v>54000</v>
      </c>
      <c r="E7" s="495">
        <f t="shared" si="0"/>
        <v>0</v>
      </c>
      <c r="F7" s="495">
        <f t="shared" si="0"/>
        <v>0</v>
      </c>
      <c r="G7" s="495">
        <f t="shared" si="0"/>
        <v>130520</v>
      </c>
      <c r="H7" s="495">
        <f t="shared" si="0"/>
        <v>139800</v>
      </c>
      <c r="I7" s="495">
        <f t="shared" si="0"/>
        <v>0</v>
      </c>
      <c r="J7" s="495">
        <f t="shared" si="0"/>
        <v>449364</v>
      </c>
      <c r="K7" s="495">
        <f t="shared" si="0"/>
        <v>0</v>
      </c>
      <c r="L7" s="495">
        <f t="shared" si="0"/>
        <v>337440</v>
      </c>
      <c r="M7" s="495">
        <f t="shared" si="0"/>
        <v>383960</v>
      </c>
      <c r="N7" s="495">
        <f t="shared" si="0"/>
        <v>377370</v>
      </c>
      <c r="O7" s="495">
        <f t="shared" si="0"/>
        <v>1500000</v>
      </c>
      <c r="P7" s="496"/>
      <c r="Q7" s="493"/>
    </row>
    <row r="8" spans="1:18" s="501" customFormat="1" ht="70.5" customHeight="1">
      <c r="A8" s="497" t="s">
        <v>660</v>
      </c>
      <c r="B8" s="498">
        <f>SUM(C8:O8)</f>
        <v>500000</v>
      </c>
      <c r="C8" s="499">
        <v>0</v>
      </c>
      <c r="D8" s="499">
        <v>0</v>
      </c>
      <c r="E8" s="499">
        <v>0</v>
      </c>
      <c r="F8" s="499">
        <v>0</v>
      </c>
      <c r="G8" s="499">
        <v>0</v>
      </c>
      <c r="H8" s="499">
        <v>0</v>
      </c>
      <c r="I8" s="499">
        <v>0</v>
      </c>
      <c r="J8" s="499">
        <v>0</v>
      </c>
      <c r="K8" s="499">
        <v>0</v>
      </c>
      <c r="L8" s="499">
        <v>0</v>
      </c>
      <c r="M8" s="499">
        <v>0</v>
      </c>
      <c r="N8" s="499">
        <v>0</v>
      </c>
      <c r="O8" s="499">
        <f>+[27]หน่วยงานอื่น!B8</f>
        <v>500000</v>
      </c>
      <c r="P8" s="500" t="s">
        <v>661</v>
      </c>
      <c r="R8" s="502"/>
    </row>
    <row r="9" spans="1:18" ht="51.75">
      <c r="A9" s="503" t="s">
        <v>662</v>
      </c>
      <c r="B9" s="504">
        <f>SUM(C9:O9)</f>
        <v>2475084</v>
      </c>
      <c r="C9" s="505">
        <f>+'[27]รายละเอียดโครงการ1-8'!E10+'[27]รายละเอียดโครงการ1-8'!F10</f>
        <v>602630</v>
      </c>
      <c r="D9" s="505">
        <f>+'[27]รายละเอียดโครงการ1-8'!E19+'[27]รายละเอียดโครงการ1-8'!F19</f>
        <v>54000</v>
      </c>
      <c r="E9" s="505">
        <f>+'[27]รายละเอียดโครงการ1-8'!E25+'[27]รายละเอียดโครงการ1-8'!F25</f>
        <v>0</v>
      </c>
      <c r="F9" s="505">
        <f>+'[27]รายละเอียดโครงการ1-8'!E25+'[27]รายละเอียดโครงการ1-8'!F25</f>
        <v>0</v>
      </c>
      <c r="G9" s="505">
        <f>+'[27]รายละเอียดโครงการ1-8'!E40+'[27]รายละเอียดโครงการ1-8'!F40</f>
        <v>130520</v>
      </c>
      <c r="H9" s="505">
        <f>+'[27]รายละเอียดโครงการ1-8'!E49+'[27]รายละเอียดโครงการ1-8'!F49</f>
        <v>139800</v>
      </c>
      <c r="I9" s="505">
        <f>+'[27]รายละเอียดโครงการ1-8'!E58+'[27]รายละเอียดโครงการ1-8'!F58</f>
        <v>0</v>
      </c>
      <c r="J9" s="505">
        <f>+'[27]รายละเอียดโครงการ1-8'!E63+'[27]รายละเอียดโครงการ1-8'!F63</f>
        <v>449364</v>
      </c>
      <c r="K9" s="505">
        <f>+'[27]รายละเอียดโครงการ1-8'!E71+'[27]รายละเอียดโครงการ1-8'!F71</f>
        <v>0</v>
      </c>
      <c r="L9" s="505">
        <f>+'[27]รายละเอียดโครงการ1-8'!E76+'[27]รายละเอียดโครงการ1-8'!F76</f>
        <v>337440</v>
      </c>
      <c r="M9" s="505">
        <f>+'[27]รายละเอียดโครงการ1-8'!E82+'[27]รายละเอียดโครงการ1-8'!F82</f>
        <v>383960</v>
      </c>
      <c r="N9" s="505">
        <f>+'[27]รายละเอียดโครงการ1-8'!E90+'[27]รายละเอียดโครงการ1-8'!F90</f>
        <v>377370</v>
      </c>
      <c r="O9" s="505">
        <v>0</v>
      </c>
      <c r="P9" s="506" t="s">
        <v>85</v>
      </c>
      <c r="R9" s="493"/>
    </row>
    <row r="10" spans="1:18" s="510" customFormat="1" ht="51.75">
      <c r="A10" s="507" t="s">
        <v>663</v>
      </c>
      <c r="B10" s="504">
        <f>SUM(C10:O10)</f>
        <v>400000</v>
      </c>
      <c r="C10" s="508">
        <v>0</v>
      </c>
      <c r="D10" s="508">
        <v>0</v>
      </c>
      <c r="E10" s="508">
        <v>0</v>
      </c>
      <c r="F10" s="508">
        <v>0</v>
      </c>
      <c r="G10" s="508">
        <v>0</v>
      </c>
      <c r="H10" s="508">
        <v>0</v>
      </c>
      <c r="I10" s="508">
        <v>0</v>
      </c>
      <c r="J10" s="508">
        <v>0</v>
      </c>
      <c r="K10" s="508">
        <v>0</v>
      </c>
      <c r="L10" s="508">
        <v>0</v>
      </c>
      <c r="M10" s="508">
        <v>0</v>
      </c>
      <c r="N10" s="508">
        <v>0</v>
      </c>
      <c r="O10" s="508">
        <v>400000</v>
      </c>
      <c r="P10" s="509" t="s">
        <v>379</v>
      </c>
      <c r="R10" s="493"/>
    </row>
    <row r="11" spans="1:18" s="510" customFormat="1" ht="51.75">
      <c r="A11" s="507" t="s">
        <v>664</v>
      </c>
      <c r="B11" s="504">
        <f>SUM(C11:O11)</f>
        <v>600000</v>
      </c>
      <c r="C11" s="508">
        <v>0</v>
      </c>
      <c r="D11" s="508">
        <v>0</v>
      </c>
      <c r="E11" s="508">
        <v>0</v>
      </c>
      <c r="F11" s="508">
        <v>0</v>
      </c>
      <c r="G11" s="508">
        <v>0</v>
      </c>
      <c r="H11" s="508">
        <v>0</v>
      </c>
      <c r="I11" s="508">
        <v>0</v>
      </c>
      <c r="J11" s="508">
        <v>0</v>
      </c>
      <c r="K11" s="508">
        <v>0</v>
      </c>
      <c r="L11" s="508">
        <v>0</v>
      </c>
      <c r="M11" s="508">
        <v>0</v>
      </c>
      <c r="N11" s="508">
        <v>0</v>
      </c>
      <c r="O11" s="508">
        <v>600000</v>
      </c>
      <c r="P11" s="509" t="s">
        <v>466</v>
      </c>
      <c r="R11" s="493"/>
    </row>
    <row r="12" spans="1:18" s="510" customFormat="1">
      <c r="A12" s="511"/>
      <c r="B12" s="512">
        <f t="shared" ref="B12:B17" si="1">SUM(C12:O12)</f>
        <v>0</v>
      </c>
      <c r="C12" s="513">
        <f>+'[27]รายละเอียดโครงการ1-8'!J10</f>
        <v>0</v>
      </c>
      <c r="D12" s="513">
        <f>+'[27]รายละเอียดโครงการ1-8'!J19</f>
        <v>0</v>
      </c>
      <c r="E12" s="513">
        <f>+'[27]รายละเอียดโครงการ1-8'!J25</f>
        <v>0</v>
      </c>
      <c r="F12" s="514">
        <f>+'[27]รายละเอียดโครงการ1-8'!J31</f>
        <v>0</v>
      </c>
      <c r="G12" s="513">
        <f>+'[27]รายละเอียดโครงการ1-8'!J40</f>
        <v>0</v>
      </c>
      <c r="H12" s="513">
        <f>+'[27]รายละเอียดโครงการ1-8'!J49</f>
        <v>0</v>
      </c>
      <c r="I12" s="513">
        <f>+'[27]รายละเอียดโครงการ1-8'!J58</f>
        <v>0</v>
      </c>
      <c r="J12" s="513">
        <f>+'[27]รายละเอียดโครงการ1-8'!J63</f>
        <v>0</v>
      </c>
      <c r="K12" s="513">
        <f>+'[27]รายละเอียดโครงการ1-8'!J71</f>
        <v>0</v>
      </c>
      <c r="L12" s="513">
        <f>+'[27]รายละเอียดโครงการ1-8'!J76</f>
        <v>0</v>
      </c>
      <c r="M12" s="513">
        <f>+'[27]รายละเอียดโครงการ1-8'!J82</f>
        <v>0</v>
      </c>
      <c r="N12" s="513">
        <f>+'[27]รายละเอียดโครงการ1-8'!J90</f>
        <v>0</v>
      </c>
      <c r="O12" s="513">
        <v>0</v>
      </c>
      <c r="P12" s="515"/>
      <c r="R12" s="493"/>
    </row>
    <row r="13" spans="1:18" s="510" customFormat="1">
      <c r="A13" s="511"/>
      <c r="B13" s="512">
        <f t="shared" si="1"/>
        <v>0</v>
      </c>
      <c r="C13" s="513">
        <f>+'[27]รายละเอียดโครงการ1-8'!K10</f>
        <v>0</v>
      </c>
      <c r="D13" s="513">
        <f>+'[27]รายละเอียดโครงการ1-8'!K19</f>
        <v>0</v>
      </c>
      <c r="E13" s="513">
        <f>+'[27]รายละเอียดโครงการ1-8'!K25</f>
        <v>0</v>
      </c>
      <c r="F13" s="516">
        <f>+'[27]รายละเอียดโครงการ1-8'!K31</f>
        <v>0</v>
      </c>
      <c r="G13" s="513">
        <f>+'[27]รายละเอียดโครงการ1-8'!K40</f>
        <v>0</v>
      </c>
      <c r="H13" s="513">
        <f>+'[27]รายละเอียดโครงการ1-8'!K49</f>
        <v>0</v>
      </c>
      <c r="I13" s="513">
        <f>+'[27]รายละเอียดโครงการ1-8'!K58</f>
        <v>0</v>
      </c>
      <c r="J13" s="513">
        <f>+'[27]รายละเอียดโครงการ1-8'!K63</f>
        <v>0</v>
      </c>
      <c r="K13" s="513">
        <f>+'[27]รายละเอียดโครงการ1-8'!K71</f>
        <v>0</v>
      </c>
      <c r="L13" s="513">
        <f>+'[27]รายละเอียดโครงการ1-8'!K76</f>
        <v>0</v>
      </c>
      <c r="M13" s="513">
        <f>+'[27]รายละเอียดโครงการ1-8'!K82</f>
        <v>0</v>
      </c>
      <c r="N13" s="513">
        <f>+'[27]รายละเอียดโครงการ1-8'!K90</f>
        <v>0</v>
      </c>
      <c r="O13" s="513">
        <v>0</v>
      </c>
      <c r="P13" s="515"/>
      <c r="R13" s="493"/>
    </row>
    <row r="14" spans="1:18" s="518" customFormat="1">
      <c r="A14" s="517"/>
      <c r="B14" s="512">
        <f t="shared" si="1"/>
        <v>0</v>
      </c>
      <c r="C14" s="513">
        <f>+'[27]รายละเอียดโครงการ9-11'!E10</f>
        <v>0</v>
      </c>
      <c r="D14" s="513">
        <f>+'[27]รายละเอียดโครงการ9-11'!E19</f>
        <v>0</v>
      </c>
      <c r="E14" s="513">
        <f>+'[27]รายละเอียดโครงการ9-11'!E25</f>
        <v>0</v>
      </c>
      <c r="F14" s="514">
        <f>+'[27]รายละเอียดโครงการ9-11'!E31</f>
        <v>0</v>
      </c>
      <c r="G14" s="513">
        <f>+'[27]รายละเอียดโครงการ9-11'!E40</f>
        <v>0</v>
      </c>
      <c r="H14" s="513">
        <f>+'[27]รายละเอียดโครงการ9-11'!E49</f>
        <v>0</v>
      </c>
      <c r="I14" s="513">
        <f>+'[27]รายละเอียดโครงการ9-11'!E58</f>
        <v>0</v>
      </c>
      <c r="J14" s="513">
        <f>+'[27]รายละเอียดโครงการ9-11'!E63</f>
        <v>0</v>
      </c>
      <c r="K14" s="513">
        <f>+'[27]รายละเอียดโครงการ9-11'!E71</f>
        <v>0</v>
      </c>
      <c r="L14" s="513">
        <f>+'[27]รายละเอียดโครงการ9-11'!E76</f>
        <v>0</v>
      </c>
      <c r="M14" s="513">
        <f>+'[27]รายละเอียดโครงการ9-11'!E82</f>
        <v>0</v>
      </c>
      <c r="N14" s="513">
        <f>+'[27]รายละเอียดโครงการ9-11'!E90</f>
        <v>0</v>
      </c>
      <c r="O14" s="513">
        <f>+'[27]รายละเอียดโครงการ9-11'!E98</f>
        <v>0</v>
      </c>
      <c r="P14" s="515"/>
      <c r="R14" s="493"/>
    </row>
    <row r="15" spans="1:18" s="518" customFormat="1">
      <c r="A15" s="517"/>
      <c r="B15" s="512">
        <f t="shared" si="1"/>
        <v>0</v>
      </c>
      <c r="C15" s="513">
        <f>+'[27]รายละเอียดโครงการ9-11'!F10</f>
        <v>0</v>
      </c>
      <c r="D15" s="513">
        <f>+'[27]รายละเอียดโครงการ9-11'!F19</f>
        <v>0</v>
      </c>
      <c r="E15" s="513">
        <f>+'[27]รายละเอียดโครงการ9-11'!F25</f>
        <v>0</v>
      </c>
      <c r="F15" s="516">
        <f>+'[27]รายละเอียดโครงการ9-11'!F31</f>
        <v>0</v>
      </c>
      <c r="G15" s="513">
        <f>+'[27]รายละเอียดโครงการ9-11'!F40</f>
        <v>0</v>
      </c>
      <c r="H15" s="513">
        <f>+'[27]รายละเอียดโครงการ9-11'!F49</f>
        <v>0</v>
      </c>
      <c r="I15" s="513">
        <f>+'[27]รายละเอียดโครงการ9-11'!F58</f>
        <v>0</v>
      </c>
      <c r="J15" s="513">
        <f>+'[27]รายละเอียดโครงการ9-11'!F63</f>
        <v>0</v>
      </c>
      <c r="K15" s="513">
        <f>+'[27]รายละเอียดโครงการ9-11'!F71</f>
        <v>0</v>
      </c>
      <c r="L15" s="513">
        <f>+'[27]รายละเอียดโครงการ9-11'!F76</f>
        <v>0</v>
      </c>
      <c r="M15" s="513">
        <f>+'[27]รายละเอียดโครงการ9-11'!F82</f>
        <v>0</v>
      </c>
      <c r="N15" s="513">
        <f>+'[27]รายละเอียดโครงการ9-11'!F90</f>
        <v>0</v>
      </c>
      <c r="O15" s="513">
        <v>0</v>
      </c>
      <c r="P15" s="515"/>
      <c r="R15" s="493"/>
    </row>
    <row r="16" spans="1:18" s="518" customFormat="1">
      <c r="A16" s="517"/>
      <c r="B16" s="512">
        <f t="shared" si="1"/>
        <v>0</v>
      </c>
      <c r="C16" s="513">
        <f>+'[27]รายละเอียดโครงการ9-11'!F11</f>
        <v>0</v>
      </c>
      <c r="D16" s="513">
        <f>+'[27]รายละเอียดโครงการ9-11'!F20</f>
        <v>0</v>
      </c>
      <c r="E16" s="513">
        <f>+'[27]รายละเอียดโครงการ9-11'!F26</f>
        <v>0</v>
      </c>
      <c r="F16" s="516">
        <f>+'[27]รายละเอียดโครงการ9-11'!F32</f>
        <v>0</v>
      </c>
      <c r="G16" s="513">
        <f>+'[27]รายละเอียดโครงการ9-11'!F41</f>
        <v>0</v>
      </c>
      <c r="H16" s="513">
        <f>+'[27]รายละเอียดโครงการ9-11'!F50</f>
        <v>0</v>
      </c>
      <c r="I16" s="513">
        <f>+'[27]รายละเอียดโครงการ9-11'!F59</f>
        <v>0</v>
      </c>
      <c r="J16" s="513">
        <f>+'[27]รายละเอียดโครงการ9-11'!F64</f>
        <v>0</v>
      </c>
      <c r="K16" s="513">
        <f>+'[27]รายละเอียดโครงการ9-11'!F72</f>
        <v>0</v>
      </c>
      <c r="L16" s="513">
        <f>+'[27]รายละเอียดโครงการ9-11'!F77</f>
        <v>0</v>
      </c>
      <c r="M16" s="513">
        <f>+'[27]รายละเอียดโครงการ9-11'!F83</f>
        <v>0</v>
      </c>
      <c r="N16" s="513">
        <f>+'[27]รายละเอียดโครงการ9-11'!F91</f>
        <v>0</v>
      </c>
      <c r="O16" s="513">
        <v>0</v>
      </c>
      <c r="P16" s="515"/>
    </row>
    <row r="17" spans="1:16">
      <c r="A17" s="519"/>
      <c r="B17" s="520">
        <f t="shared" si="1"/>
        <v>0</v>
      </c>
      <c r="C17" s="521">
        <v>0</v>
      </c>
      <c r="D17" s="521">
        <v>0</v>
      </c>
      <c r="E17" s="521">
        <v>0</v>
      </c>
      <c r="F17" s="521">
        <v>0</v>
      </c>
      <c r="G17" s="521">
        <v>0</v>
      </c>
      <c r="H17" s="521">
        <v>0</v>
      </c>
      <c r="I17" s="521">
        <v>0</v>
      </c>
      <c r="J17" s="521">
        <v>0</v>
      </c>
      <c r="K17" s="521">
        <v>0</v>
      </c>
      <c r="L17" s="521">
        <v>0</v>
      </c>
      <c r="M17" s="521">
        <v>0</v>
      </c>
      <c r="N17" s="521">
        <v>0</v>
      </c>
      <c r="O17" s="521">
        <v>0</v>
      </c>
      <c r="P17" s="522"/>
    </row>
  </sheetData>
  <mergeCells count="4">
    <mergeCell ref="A5:B5"/>
    <mergeCell ref="C5:N5"/>
    <mergeCell ref="O5:O6"/>
    <mergeCell ref="P5:P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H16" sqref="H16"/>
    </sheetView>
  </sheetViews>
  <sheetFormatPr defaultRowHeight="21"/>
  <cols>
    <col min="1" max="1" width="5" style="17" bestFit="1" customWidth="1"/>
    <col min="2" max="2" width="41.5" style="17" customWidth="1"/>
    <col min="3" max="5" width="14.375" style="17" customWidth="1"/>
    <col min="6" max="6" width="14.375" style="372" customWidth="1"/>
    <col min="7" max="7" width="14.125" style="372" customWidth="1"/>
    <col min="8" max="8" width="13.75" style="372" customWidth="1"/>
    <col min="9" max="9" width="13.625" style="372" bestFit="1" customWidth="1"/>
    <col min="10" max="10" width="10.625" style="372" bestFit="1" customWidth="1"/>
    <col min="11" max="256" width="9" style="17"/>
    <col min="257" max="257" width="5" style="17" bestFit="1" customWidth="1"/>
    <col min="258" max="258" width="41.5" style="17" customWidth="1"/>
    <col min="259" max="262" width="14.375" style="17" customWidth="1"/>
    <col min="263" max="263" width="14.125" style="17" customWidth="1"/>
    <col min="264" max="264" width="13.75" style="17" customWidth="1"/>
    <col min="265" max="265" width="13.625" style="17" bestFit="1" customWidth="1"/>
    <col min="266" max="266" width="10.625" style="17" bestFit="1" customWidth="1"/>
    <col min="267" max="512" width="9" style="17"/>
    <col min="513" max="513" width="5" style="17" bestFit="1" customWidth="1"/>
    <col min="514" max="514" width="41.5" style="17" customWidth="1"/>
    <col min="515" max="518" width="14.375" style="17" customWidth="1"/>
    <col min="519" max="519" width="14.125" style="17" customWidth="1"/>
    <col min="520" max="520" width="13.75" style="17" customWidth="1"/>
    <col min="521" max="521" width="13.625" style="17" bestFit="1" customWidth="1"/>
    <col min="522" max="522" width="10.625" style="17" bestFit="1" customWidth="1"/>
    <col min="523" max="768" width="9" style="17"/>
    <col min="769" max="769" width="5" style="17" bestFit="1" customWidth="1"/>
    <col min="770" max="770" width="41.5" style="17" customWidth="1"/>
    <col min="771" max="774" width="14.375" style="17" customWidth="1"/>
    <col min="775" max="775" width="14.125" style="17" customWidth="1"/>
    <col min="776" max="776" width="13.75" style="17" customWidth="1"/>
    <col min="777" max="777" width="13.625" style="17" bestFit="1" customWidth="1"/>
    <col min="778" max="778" width="10.625" style="17" bestFit="1" customWidth="1"/>
    <col min="779" max="1024" width="9" style="17"/>
    <col min="1025" max="1025" width="5" style="17" bestFit="1" customWidth="1"/>
    <col min="1026" max="1026" width="41.5" style="17" customWidth="1"/>
    <col min="1027" max="1030" width="14.375" style="17" customWidth="1"/>
    <col min="1031" max="1031" width="14.125" style="17" customWidth="1"/>
    <col min="1032" max="1032" width="13.75" style="17" customWidth="1"/>
    <col min="1033" max="1033" width="13.625" style="17" bestFit="1" customWidth="1"/>
    <col min="1034" max="1034" width="10.625" style="17" bestFit="1" customWidth="1"/>
    <col min="1035" max="1280" width="9" style="17"/>
    <col min="1281" max="1281" width="5" style="17" bestFit="1" customWidth="1"/>
    <col min="1282" max="1282" width="41.5" style="17" customWidth="1"/>
    <col min="1283" max="1286" width="14.375" style="17" customWidth="1"/>
    <col min="1287" max="1287" width="14.125" style="17" customWidth="1"/>
    <col min="1288" max="1288" width="13.75" style="17" customWidth="1"/>
    <col min="1289" max="1289" width="13.625" style="17" bestFit="1" customWidth="1"/>
    <col min="1290" max="1290" width="10.625" style="17" bestFit="1" customWidth="1"/>
    <col min="1291" max="1536" width="9" style="17"/>
    <col min="1537" max="1537" width="5" style="17" bestFit="1" customWidth="1"/>
    <col min="1538" max="1538" width="41.5" style="17" customWidth="1"/>
    <col min="1539" max="1542" width="14.375" style="17" customWidth="1"/>
    <col min="1543" max="1543" width="14.125" style="17" customWidth="1"/>
    <col min="1544" max="1544" width="13.75" style="17" customWidth="1"/>
    <col min="1545" max="1545" width="13.625" style="17" bestFit="1" customWidth="1"/>
    <col min="1546" max="1546" width="10.625" style="17" bestFit="1" customWidth="1"/>
    <col min="1547" max="1792" width="9" style="17"/>
    <col min="1793" max="1793" width="5" style="17" bestFit="1" customWidth="1"/>
    <col min="1794" max="1794" width="41.5" style="17" customWidth="1"/>
    <col min="1795" max="1798" width="14.375" style="17" customWidth="1"/>
    <col min="1799" max="1799" width="14.125" style="17" customWidth="1"/>
    <col min="1800" max="1800" width="13.75" style="17" customWidth="1"/>
    <col min="1801" max="1801" width="13.625" style="17" bestFit="1" customWidth="1"/>
    <col min="1802" max="1802" width="10.625" style="17" bestFit="1" customWidth="1"/>
    <col min="1803" max="2048" width="9" style="17"/>
    <col min="2049" max="2049" width="5" style="17" bestFit="1" customWidth="1"/>
    <col min="2050" max="2050" width="41.5" style="17" customWidth="1"/>
    <col min="2051" max="2054" width="14.375" style="17" customWidth="1"/>
    <col min="2055" max="2055" width="14.125" style="17" customWidth="1"/>
    <col min="2056" max="2056" width="13.75" style="17" customWidth="1"/>
    <col min="2057" max="2057" width="13.625" style="17" bestFit="1" customWidth="1"/>
    <col min="2058" max="2058" width="10.625" style="17" bestFit="1" customWidth="1"/>
    <col min="2059" max="2304" width="9" style="17"/>
    <col min="2305" max="2305" width="5" style="17" bestFit="1" customWidth="1"/>
    <col min="2306" max="2306" width="41.5" style="17" customWidth="1"/>
    <col min="2307" max="2310" width="14.375" style="17" customWidth="1"/>
    <col min="2311" max="2311" width="14.125" style="17" customWidth="1"/>
    <col min="2312" max="2312" width="13.75" style="17" customWidth="1"/>
    <col min="2313" max="2313" width="13.625" style="17" bestFit="1" customWidth="1"/>
    <col min="2314" max="2314" width="10.625" style="17" bestFit="1" customWidth="1"/>
    <col min="2315" max="2560" width="9" style="17"/>
    <col min="2561" max="2561" width="5" style="17" bestFit="1" customWidth="1"/>
    <col min="2562" max="2562" width="41.5" style="17" customWidth="1"/>
    <col min="2563" max="2566" width="14.375" style="17" customWidth="1"/>
    <col min="2567" max="2567" width="14.125" style="17" customWidth="1"/>
    <col min="2568" max="2568" width="13.75" style="17" customWidth="1"/>
    <col min="2569" max="2569" width="13.625" style="17" bestFit="1" customWidth="1"/>
    <col min="2570" max="2570" width="10.625" style="17" bestFit="1" customWidth="1"/>
    <col min="2571" max="2816" width="9" style="17"/>
    <col min="2817" max="2817" width="5" style="17" bestFit="1" customWidth="1"/>
    <col min="2818" max="2818" width="41.5" style="17" customWidth="1"/>
    <col min="2819" max="2822" width="14.375" style="17" customWidth="1"/>
    <col min="2823" max="2823" width="14.125" style="17" customWidth="1"/>
    <col min="2824" max="2824" width="13.75" style="17" customWidth="1"/>
    <col min="2825" max="2825" width="13.625" style="17" bestFit="1" customWidth="1"/>
    <col min="2826" max="2826" width="10.625" style="17" bestFit="1" customWidth="1"/>
    <col min="2827" max="3072" width="9" style="17"/>
    <col min="3073" max="3073" width="5" style="17" bestFit="1" customWidth="1"/>
    <col min="3074" max="3074" width="41.5" style="17" customWidth="1"/>
    <col min="3075" max="3078" width="14.375" style="17" customWidth="1"/>
    <col min="3079" max="3079" width="14.125" style="17" customWidth="1"/>
    <col min="3080" max="3080" width="13.75" style="17" customWidth="1"/>
    <col min="3081" max="3081" width="13.625" style="17" bestFit="1" customWidth="1"/>
    <col min="3082" max="3082" width="10.625" style="17" bestFit="1" customWidth="1"/>
    <col min="3083" max="3328" width="9" style="17"/>
    <col min="3329" max="3329" width="5" style="17" bestFit="1" customWidth="1"/>
    <col min="3330" max="3330" width="41.5" style="17" customWidth="1"/>
    <col min="3331" max="3334" width="14.375" style="17" customWidth="1"/>
    <col min="3335" max="3335" width="14.125" style="17" customWidth="1"/>
    <col min="3336" max="3336" width="13.75" style="17" customWidth="1"/>
    <col min="3337" max="3337" width="13.625" style="17" bestFit="1" customWidth="1"/>
    <col min="3338" max="3338" width="10.625" style="17" bestFit="1" customWidth="1"/>
    <col min="3339" max="3584" width="9" style="17"/>
    <col min="3585" max="3585" width="5" style="17" bestFit="1" customWidth="1"/>
    <col min="3586" max="3586" width="41.5" style="17" customWidth="1"/>
    <col min="3587" max="3590" width="14.375" style="17" customWidth="1"/>
    <col min="3591" max="3591" width="14.125" style="17" customWidth="1"/>
    <col min="3592" max="3592" width="13.75" style="17" customWidth="1"/>
    <col min="3593" max="3593" width="13.625" style="17" bestFit="1" customWidth="1"/>
    <col min="3594" max="3594" width="10.625" style="17" bestFit="1" customWidth="1"/>
    <col min="3595" max="3840" width="9" style="17"/>
    <col min="3841" max="3841" width="5" style="17" bestFit="1" customWidth="1"/>
    <col min="3842" max="3842" width="41.5" style="17" customWidth="1"/>
    <col min="3843" max="3846" width="14.375" style="17" customWidth="1"/>
    <col min="3847" max="3847" width="14.125" style="17" customWidth="1"/>
    <col min="3848" max="3848" width="13.75" style="17" customWidth="1"/>
    <col min="3849" max="3849" width="13.625" style="17" bestFit="1" customWidth="1"/>
    <col min="3850" max="3850" width="10.625" style="17" bestFit="1" customWidth="1"/>
    <col min="3851" max="4096" width="9" style="17"/>
    <col min="4097" max="4097" width="5" style="17" bestFit="1" customWidth="1"/>
    <col min="4098" max="4098" width="41.5" style="17" customWidth="1"/>
    <col min="4099" max="4102" width="14.375" style="17" customWidth="1"/>
    <col min="4103" max="4103" width="14.125" style="17" customWidth="1"/>
    <col min="4104" max="4104" width="13.75" style="17" customWidth="1"/>
    <col min="4105" max="4105" width="13.625" style="17" bestFit="1" customWidth="1"/>
    <col min="4106" max="4106" width="10.625" style="17" bestFit="1" customWidth="1"/>
    <col min="4107" max="4352" width="9" style="17"/>
    <col min="4353" max="4353" width="5" style="17" bestFit="1" customWidth="1"/>
    <col min="4354" max="4354" width="41.5" style="17" customWidth="1"/>
    <col min="4355" max="4358" width="14.375" style="17" customWidth="1"/>
    <col min="4359" max="4359" width="14.125" style="17" customWidth="1"/>
    <col min="4360" max="4360" width="13.75" style="17" customWidth="1"/>
    <col min="4361" max="4361" width="13.625" style="17" bestFit="1" customWidth="1"/>
    <col min="4362" max="4362" width="10.625" style="17" bestFit="1" customWidth="1"/>
    <col min="4363" max="4608" width="9" style="17"/>
    <col min="4609" max="4609" width="5" style="17" bestFit="1" customWidth="1"/>
    <col min="4610" max="4610" width="41.5" style="17" customWidth="1"/>
    <col min="4611" max="4614" width="14.375" style="17" customWidth="1"/>
    <col min="4615" max="4615" width="14.125" style="17" customWidth="1"/>
    <col min="4616" max="4616" width="13.75" style="17" customWidth="1"/>
    <col min="4617" max="4617" width="13.625" style="17" bestFit="1" customWidth="1"/>
    <col min="4618" max="4618" width="10.625" style="17" bestFit="1" customWidth="1"/>
    <col min="4619" max="4864" width="9" style="17"/>
    <col min="4865" max="4865" width="5" style="17" bestFit="1" customWidth="1"/>
    <col min="4866" max="4866" width="41.5" style="17" customWidth="1"/>
    <col min="4867" max="4870" width="14.375" style="17" customWidth="1"/>
    <col min="4871" max="4871" width="14.125" style="17" customWidth="1"/>
    <col min="4872" max="4872" width="13.75" style="17" customWidth="1"/>
    <col min="4873" max="4873" width="13.625" style="17" bestFit="1" customWidth="1"/>
    <col min="4874" max="4874" width="10.625" style="17" bestFit="1" customWidth="1"/>
    <col min="4875" max="5120" width="9" style="17"/>
    <col min="5121" max="5121" width="5" style="17" bestFit="1" customWidth="1"/>
    <col min="5122" max="5122" width="41.5" style="17" customWidth="1"/>
    <col min="5123" max="5126" width="14.375" style="17" customWidth="1"/>
    <col min="5127" max="5127" width="14.125" style="17" customWidth="1"/>
    <col min="5128" max="5128" width="13.75" style="17" customWidth="1"/>
    <col min="5129" max="5129" width="13.625" style="17" bestFit="1" customWidth="1"/>
    <col min="5130" max="5130" width="10.625" style="17" bestFit="1" customWidth="1"/>
    <col min="5131" max="5376" width="9" style="17"/>
    <col min="5377" max="5377" width="5" style="17" bestFit="1" customWidth="1"/>
    <col min="5378" max="5378" width="41.5" style="17" customWidth="1"/>
    <col min="5379" max="5382" width="14.375" style="17" customWidth="1"/>
    <col min="5383" max="5383" width="14.125" style="17" customWidth="1"/>
    <col min="5384" max="5384" width="13.75" style="17" customWidth="1"/>
    <col min="5385" max="5385" width="13.625" style="17" bestFit="1" customWidth="1"/>
    <col min="5386" max="5386" width="10.625" style="17" bestFit="1" customWidth="1"/>
    <col min="5387" max="5632" width="9" style="17"/>
    <col min="5633" max="5633" width="5" style="17" bestFit="1" customWidth="1"/>
    <col min="5634" max="5634" width="41.5" style="17" customWidth="1"/>
    <col min="5635" max="5638" width="14.375" style="17" customWidth="1"/>
    <col min="5639" max="5639" width="14.125" style="17" customWidth="1"/>
    <col min="5640" max="5640" width="13.75" style="17" customWidth="1"/>
    <col min="5641" max="5641" width="13.625" style="17" bestFit="1" customWidth="1"/>
    <col min="5642" max="5642" width="10.625" style="17" bestFit="1" customWidth="1"/>
    <col min="5643" max="5888" width="9" style="17"/>
    <col min="5889" max="5889" width="5" style="17" bestFit="1" customWidth="1"/>
    <col min="5890" max="5890" width="41.5" style="17" customWidth="1"/>
    <col min="5891" max="5894" width="14.375" style="17" customWidth="1"/>
    <col min="5895" max="5895" width="14.125" style="17" customWidth="1"/>
    <col min="5896" max="5896" width="13.75" style="17" customWidth="1"/>
    <col min="5897" max="5897" width="13.625" style="17" bestFit="1" customWidth="1"/>
    <col min="5898" max="5898" width="10.625" style="17" bestFit="1" customWidth="1"/>
    <col min="5899" max="6144" width="9" style="17"/>
    <col min="6145" max="6145" width="5" style="17" bestFit="1" customWidth="1"/>
    <col min="6146" max="6146" width="41.5" style="17" customWidth="1"/>
    <col min="6147" max="6150" width="14.375" style="17" customWidth="1"/>
    <col min="6151" max="6151" width="14.125" style="17" customWidth="1"/>
    <col min="6152" max="6152" width="13.75" style="17" customWidth="1"/>
    <col min="6153" max="6153" width="13.625" style="17" bestFit="1" customWidth="1"/>
    <col min="6154" max="6154" width="10.625" style="17" bestFit="1" customWidth="1"/>
    <col min="6155" max="6400" width="9" style="17"/>
    <col min="6401" max="6401" width="5" style="17" bestFit="1" customWidth="1"/>
    <col min="6402" max="6402" width="41.5" style="17" customWidth="1"/>
    <col min="6403" max="6406" width="14.375" style="17" customWidth="1"/>
    <col min="6407" max="6407" width="14.125" style="17" customWidth="1"/>
    <col min="6408" max="6408" width="13.75" style="17" customWidth="1"/>
    <col min="6409" max="6409" width="13.625" style="17" bestFit="1" customWidth="1"/>
    <col min="6410" max="6410" width="10.625" style="17" bestFit="1" customWidth="1"/>
    <col min="6411" max="6656" width="9" style="17"/>
    <col min="6657" max="6657" width="5" style="17" bestFit="1" customWidth="1"/>
    <col min="6658" max="6658" width="41.5" style="17" customWidth="1"/>
    <col min="6659" max="6662" width="14.375" style="17" customWidth="1"/>
    <col min="6663" max="6663" width="14.125" style="17" customWidth="1"/>
    <col min="6664" max="6664" width="13.75" style="17" customWidth="1"/>
    <col min="6665" max="6665" width="13.625" style="17" bestFit="1" customWidth="1"/>
    <col min="6666" max="6666" width="10.625" style="17" bestFit="1" customWidth="1"/>
    <col min="6667" max="6912" width="9" style="17"/>
    <col min="6913" max="6913" width="5" style="17" bestFit="1" customWidth="1"/>
    <col min="6914" max="6914" width="41.5" style="17" customWidth="1"/>
    <col min="6915" max="6918" width="14.375" style="17" customWidth="1"/>
    <col min="6919" max="6919" width="14.125" style="17" customWidth="1"/>
    <col min="6920" max="6920" width="13.75" style="17" customWidth="1"/>
    <col min="6921" max="6921" width="13.625" style="17" bestFit="1" customWidth="1"/>
    <col min="6922" max="6922" width="10.625" style="17" bestFit="1" customWidth="1"/>
    <col min="6923" max="7168" width="9" style="17"/>
    <col min="7169" max="7169" width="5" style="17" bestFit="1" customWidth="1"/>
    <col min="7170" max="7170" width="41.5" style="17" customWidth="1"/>
    <col min="7171" max="7174" width="14.375" style="17" customWidth="1"/>
    <col min="7175" max="7175" width="14.125" style="17" customWidth="1"/>
    <col min="7176" max="7176" width="13.75" style="17" customWidth="1"/>
    <col min="7177" max="7177" width="13.625" style="17" bestFit="1" customWidth="1"/>
    <col min="7178" max="7178" width="10.625" style="17" bestFit="1" customWidth="1"/>
    <col min="7179" max="7424" width="9" style="17"/>
    <col min="7425" max="7425" width="5" style="17" bestFit="1" customWidth="1"/>
    <col min="7426" max="7426" width="41.5" style="17" customWidth="1"/>
    <col min="7427" max="7430" width="14.375" style="17" customWidth="1"/>
    <col min="7431" max="7431" width="14.125" style="17" customWidth="1"/>
    <col min="7432" max="7432" width="13.75" style="17" customWidth="1"/>
    <col min="7433" max="7433" width="13.625" style="17" bestFit="1" customWidth="1"/>
    <col min="7434" max="7434" width="10.625" style="17" bestFit="1" customWidth="1"/>
    <col min="7435" max="7680" width="9" style="17"/>
    <col min="7681" max="7681" width="5" style="17" bestFit="1" customWidth="1"/>
    <col min="7682" max="7682" width="41.5" style="17" customWidth="1"/>
    <col min="7683" max="7686" width="14.375" style="17" customWidth="1"/>
    <col min="7687" max="7687" width="14.125" style="17" customWidth="1"/>
    <col min="7688" max="7688" width="13.75" style="17" customWidth="1"/>
    <col min="7689" max="7689" width="13.625" style="17" bestFit="1" customWidth="1"/>
    <col min="7690" max="7690" width="10.625" style="17" bestFit="1" customWidth="1"/>
    <col min="7691" max="7936" width="9" style="17"/>
    <col min="7937" max="7937" width="5" style="17" bestFit="1" customWidth="1"/>
    <col min="7938" max="7938" width="41.5" style="17" customWidth="1"/>
    <col min="7939" max="7942" width="14.375" style="17" customWidth="1"/>
    <col min="7943" max="7943" width="14.125" style="17" customWidth="1"/>
    <col min="7944" max="7944" width="13.75" style="17" customWidth="1"/>
    <col min="7945" max="7945" width="13.625" style="17" bestFit="1" customWidth="1"/>
    <col min="7946" max="7946" width="10.625" style="17" bestFit="1" customWidth="1"/>
    <col min="7947" max="8192" width="9" style="17"/>
    <col min="8193" max="8193" width="5" style="17" bestFit="1" customWidth="1"/>
    <col min="8194" max="8194" width="41.5" style="17" customWidth="1"/>
    <col min="8195" max="8198" width="14.375" style="17" customWidth="1"/>
    <col min="8199" max="8199" width="14.125" style="17" customWidth="1"/>
    <col min="8200" max="8200" width="13.75" style="17" customWidth="1"/>
    <col min="8201" max="8201" width="13.625" style="17" bestFit="1" customWidth="1"/>
    <col min="8202" max="8202" width="10.625" style="17" bestFit="1" customWidth="1"/>
    <col min="8203" max="8448" width="9" style="17"/>
    <col min="8449" max="8449" width="5" style="17" bestFit="1" customWidth="1"/>
    <col min="8450" max="8450" width="41.5" style="17" customWidth="1"/>
    <col min="8451" max="8454" width="14.375" style="17" customWidth="1"/>
    <col min="8455" max="8455" width="14.125" style="17" customWidth="1"/>
    <col min="8456" max="8456" width="13.75" style="17" customWidth="1"/>
    <col min="8457" max="8457" width="13.625" style="17" bestFit="1" customWidth="1"/>
    <col min="8458" max="8458" width="10.625" style="17" bestFit="1" customWidth="1"/>
    <col min="8459" max="8704" width="9" style="17"/>
    <col min="8705" max="8705" width="5" style="17" bestFit="1" customWidth="1"/>
    <col min="8706" max="8706" width="41.5" style="17" customWidth="1"/>
    <col min="8707" max="8710" width="14.375" style="17" customWidth="1"/>
    <col min="8711" max="8711" width="14.125" style="17" customWidth="1"/>
    <col min="8712" max="8712" width="13.75" style="17" customWidth="1"/>
    <col min="8713" max="8713" width="13.625" style="17" bestFit="1" customWidth="1"/>
    <col min="8714" max="8714" width="10.625" style="17" bestFit="1" customWidth="1"/>
    <col min="8715" max="8960" width="9" style="17"/>
    <col min="8961" max="8961" width="5" style="17" bestFit="1" customWidth="1"/>
    <col min="8962" max="8962" width="41.5" style="17" customWidth="1"/>
    <col min="8963" max="8966" width="14.375" style="17" customWidth="1"/>
    <col min="8967" max="8967" width="14.125" style="17" customWidth="1"/>
    <col min="8968" max="8968" width="13.75" style="17" customWidth="1"/>
    <col min="8969" max="8969" width="13.625" style="17" bestFit="1" customWidth="1"/>
    <col min="8970" max="8970" width="10.625" style="17" bestFit="1" customWidth="1"/>
    <col min="8971" max="9216" width="9" style="17"/>
    <col min="9217" max="9217" width="5" style="17" bestFit="1" customWidth="1"/>
    <col min="9218" max="9218" width="41.5" style="17" customWidth="1"/>
    <col min="9219" max="9222" width="14.375" style="17" customWidth="1"/>
    <col min="9223" max="9223" width="14.125" style="17" customWidth="1"/>
    <col min="9224" max="9224" width="13.75" style="17" customWidth="1"/>
    <col min="9225" max="9225" width="13.625" style="17" bestFit="1" customWidth="1"/>
    <col min="9226" max="9226" width="10.625" style="17" bestFit="1" customWidth="1"/>
    <col min="9227" max="9472" width="9" style="17"/>
    <col min="9473" max="9473" width="5" style="17" bestFit="1" customWidth="1"/>
    <col min="9474" max="9474" width="41.5" style="17" customWidth="1"/>
    <col min="9475" max="9478" width="14.375" style="17" customWidth="1"/>
    <col min="9479" max="9479" width="14.125" style="17" customWidth="1"/>
    <col min="9480" max="9480" width="13.75" style="17" customWidth="1"/>
    <col min="9481" max="9481" width="13.625" style="17" bestFit="1" customWidth="1"/>
    <col min="9482" max="9482" width="10.625" style="17" bestFit="1" customWidth="1"/>
    <col min="9483" max="9728" width="9" style="17"/>
    <col min="9729" max="9729" width="5" style="17" bestFit="1" customWidth="1"/>
    <col min="9730" max="9730" width="41.5" style="17" customWidth="1"/>
    <col min="9731" max="9734" width="14.375" style="17" customWidth="1"/>
    <col min="9735" max="9735" width="14.125" style="17" customWidth="1"/>
    <col min="9736" max="9736" width="13.75" style="17" customWidth="1"/>
    <col min="9737" max="9737" width="13.625" style="17" bestFit="1" customWidth="1"/>
    <col min="9738" max="9738" width="10.625" style="17" bestFit="1" customWidth="1"/>
    <col min="9739" max="9984" width="9" style="17"/>
    <col min="9985" max="9985" width="5" style="17" bestFit="1" customWidth="1"/>
    <col min="9986" max="9986" width="41.5" style="17" customWidth="1"/>
    <col min="9987" max="9990" width="14.375" style="17" customWidth="1"/>
    <col min="9991" max="9991" width="14.125" style="17" customWidth="1"/>
    <col min="9992" max="9992" width="13.75" style="17" customWidth="1"/>
    <col min="9993" max="9993" width="13.625" style="17" bestFit="1" customWidth="1"/>
    <col min="9994" max="9994" width="10.625" style="17" bestFit="1" customWidth="1"/>
    <col min="9995" max="10240" width="9" style="17"/>
    <col min="10241" max="10241" width="5" style="17" bestFit="1" customWidth="1"/>
    <col min="10242" max="10242" width="41.5" style="17" customWidth="1"/>
    <col min="10243" max="10246" width="14.375" style="17" customWidth="1"/>
    <col min="10247" max="10247" width="14.125" style="17" customWidth="1"/>
    <col min="10248" max="10248" width="13.75" style="17" customWidth="1"/>
    <col min="10249" max="10249" width="13.625" style="17" bestFit="1" customWidth="1"/>
    <col min="10250" max="10250" width="10.625" style="17" bestFit="1" customWidth="1"/>
    <col min="10251" max="10496" width="9" style="17"/>
    <col min="10497" max="10497" width="5" style="17" bestFit="1" customWidth="1"/>
    <col min="10498" max="10498" width="41.5" style="17" customWidth="1"/>
    <col min="10499" max="10502" width="14.375" style="17" customWidth="1"/>
    <col min="10503" max="10503" width="14.125" style="17" customWidth="1"/>
    <col min="10504" max="10504" width="13.75" style="17" customWidth="1"/>
    <col min="10505" max="10505" width="13.625" style="17" bestFit="1" customWidth="1"/>
    <col min="10506" max="10506" width="10.625" style="17" bestFit="1" customWidth="1"/>
    <col min="10507" max="10752" width="9" style="17"/>
    <col min="10753" max="10753" width="5" style="17" bestFit="1" customWidth="1"/>
    <col min="10754" max="10754" width="41.5" style="17" customWidth="1"/>
    <col min="10755" max="10758" width="14.375" style="17" customWidth="1"/>
    <col min="10759" max="10759" width="14.125" style="17" customWidth="1"/>
    <col min="10760" max="10760" width="13.75" style="17" customWidth="1"/>
    <col min="10761" max="10761" width="13.625" style="17" bestFit="1" customWidth="1"/>
    <col min="10762" max="10762" width="10.625" style="17" bestFit="1" customWidth="1"/>
    <col min="10763" max="11008" width="9" style="17"/>
    <col min="11009" max="11009" width="5" style="17" bestFit="1" customWidth="1"/>
    <col min="11010" max="11010" width="41.5" style="17" customWidth="1"/>
    <col min="11011" max="11014" width="14.375" style="17" customWidth="1"/>
    <col min="11015" max="11015" width="14.125" style="17" customWidth="1"/>
    <col min="11016" max="11016" width="13.75" style="17" customWidth="1"/>
    <col min="11017" max="11017" width="13.625" style="17" bestFit="1" customWidth="1"/>
    <col min="11018" max="11018" width="10.625" style="17" bestFit="1" customWidth="1"/>
    <col min="11019" max="11264" width="9" style="17"/>
    <col min="11265" max="11265" width="5" style="17" bestFit="1" customWidth="1"/>
    <col min="11266" max="11266" width="41.5" style="17" customWidth="1"/>
    <col min="11267" max="11270" width="14.375" style="17" customWidth="1"/>
    <col min="11271" max="11271" width="14.125" style="17" customWidth="1"/>
    <col min="11272" max="11272" width="13.75" style="17" customWidth="1"/>
    <col min="11273" max="11273" width="13.625" style="17" bestFit="1" customWidth="1"/>
    <col min="11274" max="11274" width="10.625" style="17" bestFit="1" customWidth="1"/>
    <col min="11275" max="11520" width="9" style="17"/>
    <col min="11521" max="11521" width="5" style="17" bestFit="1" customWidth="1"/>
    <col min="11522" max="11522" width="41.5" style="17" customWidth="1"/>
    <col min="11523" max="11526" width="14.375" style="17" customWidth="1"/>
    <col min="11527" max="11527" width="14.125" style="17" customWidth="1"/>
    <col min="11528" max="11528" width="13.75" style="17" customWidth="1"/>
    <col min="11529" max="11529" width="13.625" style="17" bestFit="1" customWidth="1"/>
    <col min="11530" max="11530" width="10.625" style="17" bestFit="1" customWidth="1"/>
    <col min="11531" max="11776" width="9" style="17"/>
    <col min="11777" max="11777" width="5" style="17" bestFit="1" customWidth="1"/>
    <col min="11778" max="11778" width="41.5" style="17" customWidth="1"/>
    <col min="11779" max="11782" width="14.375" style="17" customWidth="1"/>
    <col min="11783" max="11783" width="14.125" style="17" customWidth="1"/>
    <col min="11784" max="11784" width="13.75" style="17" customWidth="1"/>
    <col min="11785" max="11785" width="13.625" style="17" bestFit="1" customWidth="1"/>
    <col min="11786" max="11786" width="10.625" style="17" bestFit="1" customWidth="1"/>
    <col min="11787" max="12032" width="9" style="17"/>
    <col min="12033" max="12033" width="5" style="17" bestFit="1" customWidth="1"/>
    <col min="12034" max="12034" width="41.5" style="17" customWidth="1"/>
    <col min="12035" max="12038" width="14.375" style="17" customWidth="1"/>
    <col min="12039" max="12039" width="14.125" style="17" customWidth="1"/>
    <col min="12040" max="12040" width="13.75" style="17" customWidth="1"/>
    <col min="12041" max="12041" width="13.625" style="17" bestFit="1" customWidth="1"/>
    <col min="12042" max="12042" width="10.625" style="17" bestFit="1" customWidth="1"/>
    <col min="12043" max="12288" width="9" style="17"/>
    <col min="12289" max="12289" width="5" style="17" bestFit="1" customWidth="1"/>
    <col min="12290" max="12290" width="41.5" style="17" customWidth="1"/>
    <col min="12291" max="12294" width="14.375" style="17" customWidth="1"/>
    <col min="12295" max="12295" width="14.125" style="17" customWidth="1"/>
    <col min="12296" max="12296" width="13.75" style="17" customWidth="1"/>
    <col min="12297" max="12297" width="13.625" style="17" bestFit="1" customWidth="1"/>
    <col min="12298" max="12298" width="10.625" style="17" bestFit="1" customWidth="1"/>
    <col min="12299" max="12544" width="9" style="17"/>
    <col min="12545" max="12545" width="5" style="17" bestFit="1" customWidth="1"/>
    <col min="12546" max="12546" width="41.5" style="17" customWidth="1"/>
    <col min="12547" max="12550" width="14.375" style="17" customWidth="1"/>
    <col min="12551" max="12551" width="14.125" style="17" customWidth="1"/>
    <col min="12552" max="12552" width="13.75" style="17" customWidth="1"/>
    <col min="12553" max="12553" width="13.625" style="17" bestFit="1" customWidth="1"/>
    <col min="12554" max="12554" width="10.625" style="17" bestFit="1" customWidth="1"/>
    <col min="12555" max="12800" width="9" style="17"/>
    <col min="12801" max="12801" width="5" style="17" bestFit="1" customWidth="1"/>
    <col min="12802" max="12802" width="41.5" style="17" customWidth="1"/>
    <col min="12803" max="12806" width="14.375" style="17" customWidth="1"/>
    <col min="12807" max="12807" width="14.125" style="17" customWidth="1"/>
    <col min="12808" max="12808" width="13.75" style="17" customWidth="1"/>
    <col min="12809" max="12809" width="13.625" style="17" bestFit="1" customWidth="1"/>
    <col min="12810" max="12810" width="10.625" style="17" bestFit="1" customWidth="1"/>
    <col min="12811" max="13056" width="9" style="17"/>
    <col min="13057" max="13057" width="5" style="17" bestFit="1" customWidth="1"/>
    <col min="13058" max="13058" width="41.5" style="17" customWidth="1"/>
    <col min="13059" max="13062" width="14.375" style="17" customWidth="1"/>
    <col min="13063" max="13063" width="14.125" style="17" customWidth="1"/>
    <col min="13064" max="13064" width="13.75" style="17" customWidth="1"/>
    <col min="13065" max="13065" width="13.625" style="17" bestFit="1" customWidth="1"/>
    <col min="13066" max="13066" width="10.625" style="17" bestFit="1" customWidth="1"/>
    <col min="13067" max="13312" width="9" style="17"/>
    <col min="13313" max="13313" width="5" style="17" bestFit="1" customWidth="1"/>
    <col min="13314" max="13314" width="41.5" style="17" customWidth="1"/>
    <col min="13315" max="13318" width="14.375" style="17" customWidth="1"/>
    <col min="13319" max="13319" width="14.125" style="17" customWidth="1"/>
    <col min="13320" max="13320" width="13.75" style="17" customWidth="1"/>
    <col min="13321" max="13321" width="13.625" style="17" bestFit="1" customWidth="1"/>
    <col min="13322" max="13322" width="10.625" style="17" bestFit="1" customWidth="1"/>
    <col min="13323" max="13568" width="9" style="17"/>
    <col min="13569" max="13569" width="5" style="17" bestFit="1" customWidth="1"/>
    <col min="13570" max="13570" width="41.5" style="17" customWidth="1"/>
    <col min="13571" max="13574" width="14.375" style="17" customWidth="1"/>
    <col min="13575" max="13575" width="14.125" style="17" customWidth="1"/>
    <col min="13576" max="13576" width="13.75" style="17" customWidth="1"/>
    <col min="13577" max="13577" width="13.625" style="17" bestFit="1" customWidth="1"/>
    <col min="13578" max="13578" width="10.625" style="17" bestFit="1" customWidth="1"/>
    <col min="13579" max="13824" width="9" style="17"/>
    <col min="13825" max="13825" width="5" style="17" bestFit="1" customWidth="1"/>
    <col min="13826" max="13826" width="41.5" style="17" customWidth="1"/>
    <col min="13827" max="13830" width="14.375" style="17" customWidth="1"/>
    <col min="13831" max="13831" width="14.125" style="17" customWidth="1"/>
    <col min="13832" max="13832" width="13.75" style="17" customWidth="1"/>
    <col min="13833" max="13833" width="13.625" style="17" bestFit="1" customWidth="1"/>
    <col min="13834" max="13834" width="10.625" style="17" bestFit="1" customWidth="1"/>
    <col min="13835" max="14080" width="9" style="17"/>
    <col min="14081" max="14081" width="5" style="17" bestFit="1" customWidth="1"/>
    <col min="14082" max="14082" width="41.5" style="17" customWidth="1"/>
    <col min="14083" max="14086" width="14.375" style="17" customWidth="1"/>
    <col min="14087" max="14087" width="14.125" style="17" customWidth="1"/>
    <col min="14088" max="14088" width="13.75" style="17" customWidth="1"/>
    <col min="14089" max="14089" width="13.625" style="17" bestFit="1" customWidth="1"/>
    <col min="14090" max="14090" width="10.625" style="17" bestFit="1" customWidth="1"/>
    <col min="14091" max="14336" width="9" style="17"/>
    <col min="14337" max="14337" width="5" style="17" bestFit="1" customWidth="1"/>
    <col min="14338" max="14338" width="41.5" style="17" customWidth="1"/>
    <col min="14339" max="14342" width="14.375" style="17" customWidth="1"/>
    <col min="14343" max="14343" width="14.125" style="17" customWidth="1"/>
    <col min="14344" max="14344" width="13.75" style="17" customWidth="1"/>
    <col min="14345" max="14345" width="13.625" style="17" bestFit="1" customWidth="1"/>
    <col min="14346" max="14346" width="10.625" style="17" bestFit="1" customWidth="1"/>
    <col min="14347" max="14592" width="9" style="17"/>
    <col min="14593" max="14593" width="5" style="17" bestFit="1" customWidth="1"/>
    <col min="14594" max="14594" width="41.5" style="17" customWidth="1"/>
    <col min="14595" max="14598" width="14.375" style="17" customWidth="1"/>
    <col min="14599" max="14599" width="14.125" style="17" customWidth="1"/>
    <col min="14600" max="14600" width="13.75" style="17" customWidth="1"/>
    <col min="14601" max="14601" width="13.625" style="17" bestFit="1" customWidth="1"/>
    <col min="14602" max="14602" width="10.625" style="17" bestFit="1" customWidth="1"/>
    <col min="14603" max="14848" width="9" style="17"/>
    <col min="14849" max="14849" width="5" style="17" bestFit="1" customWidth="1"/>
    <col min="14850" max="14850" width="41.5" style="17" customWidth="1"/>
    <col min="14851" max="14854" width="14.375" style="17" customWidth="1"/>
    <col min="14855" max="14855" width="14.125" style="17" customWidth="1"/>
    <col min="14856" max="14856" width="13.75" style="17" customWidth="1"/>
    <col min="14857" max="14857" width="13.625" style="17" bestFit="1" customWidth="1"/>
    <col min="14858" max="14858" width="10.625" style="17" bestFit="1" customWidth="1"/>
    <col min="14859" max="15104" width="9" style="17"/>
    <col min="15105" max="15105" width="5" style="17" bestFit="1" customWidth="1"/>
    <col min="15106" max="15106" width="41.5" style="17" customWidth="1"/>
    <col min="15107" max="15110" width="14.375" style="17" customWidth="1"/>
    <col min="15111" max="15111" width="14.125" style="17" customWidth="1"/>
    <col min="15112" max="15112" width="13.75" style="17" customWidth="1"/>
    <col min="15113" max="15113" width="13.625" style="17" bestFit="1" customWidth="1"/>
    <col min="15114" max="15114" width="10.625" style="17" bestFit="1" customWidth="1"/>
    <col min="15115" max="15360" width="9" style="17"/>
    <col min="15361" max="15361" width="5" style="17" bestFit="1" customWidth="1"/>
    <col min="15362" max="15362" width="41.5" style="17" customWidth="1"/>
    <col min="15363" max="15366" width="14.375" style="17" customWidth="1"/>
    <col min="15367" max="15367" width="14.125" style="17" customWidth="1"/>
    <col min="15368" max="15368" width="13.75" style="17" customWidth="1"/>
    <col min="15369" max="15369" width="13.625" style="17" bestFit="1" customWidth="1"/>
    <col min="15370" max="15370" width="10.625" style="17" bestFit="1" customWidth="1"/>
    <col min="15371" max="15616" width="9" style="17"/>
    <col min="15617" max="15617" width="5" style="17" bestFit="1" customWidth="1"/>
    <col min="15618" max="15618" width="41.5" style="17" customWidth="1"/>
    <col min="15619" max="15622" width="14.375" style="17" customWidth="1"/>
    <col min="15623" max="15623" width="14.125" style="17" customWidth="1"/>
    <col min="15624" max="15624" width="13.75" style="17" customWidth="1"/>
    <col min="15625" max="15625" width="13.625" style="17" bestFit="1" customWidth="1"/>
    <col min="15626" max="15626" width="10.625" style="17" bestFit="1" customWidth="1"/>
    <col min="15627" max="15872" width="9" style="17"/>
    <col min="15873" max="15873" width="5" style="17" bestFit="1" customWidth="1"/>
    <col min="15874" max="15874" width="41.5" style="17" customWidth="1"/>
    <col min="15875" max="15878" width="14.375" style="17" customWidth="1"/>
    <col min="15879" max="15879" width="14.125" style="17" customWidth="1"/>
    <col min="15880" max="15880" width="13.75" style="17" customWidth="1"/>
    <col min="15881" max="15881" width="13.625" style="17" bestFit="1" customWidth="1"/>
    <col min="15882" max="15882" width="10.625" style="17" bestFit="1" customWidth="1"/>
    <col min="15883" max="16128" width="9" style="17"/>
    <col min="16129" max="16129" width="5" style="17" bestFit="1" customWidth="1"/>
    <col min="16130" max="16130" width="41.5" style="17" customWidth="1"/>
    <col min="16131" max="16134" width="14.375" style="17" customWidth="1"/>
    <col min="16135" max="16135" width="14.125" style="17" customWidth="1"/>
    <col min="16136" max="16136" width="13.75" style="17" customWidth="1"/>
    <col min="16137" max="16137" width="13.625" style="17" bestFit="1" customWidth="1"/>
    <col min="16138" max="16138" width="10.625" style="17" bestFit="1" customWidth="1"/>
    <col min="16139" max="16384" width="9" style="17"/>
  </cols>
  <sheetData>
    <row r="1" spans="1:10">
      <c r="A1" s="1022" t="s">
        <v>189</v>
      </c>
      <c r="B1" s="1022"/>
      <c r="C1" s="1022"/>
      <c r="D1" s="1022"/>
      <c r="E1" s="1022"/>
      <c r="F1" s="1022"/>
    </row>
    <row r="2" spans="1:10">
      <c r="A2" s="1022" t="s">
        <v>665</v>
      </c>
      <c r="B2" s="1022"/>
      <c r="C2" s="1022"/>
      <c r="D2" s="1022"/>
      <c r="E2" s="1022"/>
      <c r="F2" s="1022"/>
    </row>
    <row r="3" spans="1:10">
      <c r="A3" s="1022" t="s">
        <v>666</v>
      </c>
      <c r="B3" s="1022"/>
      <c r="C3" s="1022"/>
      <c r="D3" s="1022"/>
      <c r="E3" s="1022"/>
      <c r="F3" s="1022"/>
    </row>
    <row r="4" spans="1:10" s="523" customFormat="1" ht="18.75" customHeight="1">
      <c r="B4" s="524" t="s">
        <v>667</v>
      </c>
      <c r="C4" s="525">
        <f>C6*100/C6</f>
        <v>100</v>
      </c>
      <c r="D4" s="526">
        <f>D6*100/C6</f>
        <v>0.19622226851055222</v>
      </c>
      <c r="E4" s="526">
        <f>E6*100/C6</f>
        <v>9.1925936659451732</v>
      </c>
      <c r="F4" s="527">
        <f>+C4-D4-E4</f>
        <v>90.611184065544279</v>
      </c>
      <c r="G4" s="528"/>
      <c r="H4" s="528"/>
      <c r="I4" s="528"/>
      <c r="J4" s="528"/>
    </row>
    <row r="5" spans="1:10" s="532" customFormat="1" ht="42" customHeight="1">
      <c r="A5" s="529" t="s">
        <v>202</v>
      </c>
      <c r="B5" s="529" t="s">
        <v>668</v>
      </c>
      <c r="C5" s="529" t="s">
        <v>119</v>
      </c>
      <c r="D5" s="529" t="s">
        <v>669</v>
      </c>
      <c r="E5" s="529" t="s">
        <v>127</v>
      </c>
      <c r="F5" s="530" t="s">
        <v>206</v>
      </c>
      <c r="G5" s="531"/>
      <c r="H5" s="531"/>
      <c r="I5" s="531"/>
      <c r="J5" s="531"/>
    </row>
    <row r="6" spans="1:10" ht="21.75" thickBot="1">
      <c r="A6" s="533"/>
      <c r="B6" s="533" t="s">
        <v>670</v>
      </c>
      <c r="C6" s="534">
        <f>C8+C23</f>
        <v>3975084</v>
      </c>
      <c r="D6" s="534">
        <f>D8+D23</f>
        <v>7800</v>
      </c>
      <c r="E6" s="534">
        <f>E8+E23</f>
        <v>365413.32</v>
      </c>
      <c r="F6" s="535">
        <f>F8+F23</f>
        <v>3601870.68</v>
      </c>
      <c r="G6" s="536"/>
      <c r="H6" s="536"/>
      <c r="I6" s="536"/>
    </row>
    <row r="7" spans="1:10" s="544" customFormat="1" ht="21.75" thickTop="1">
      <c r="A7" s="537"/>
      <c r="B7" s="538" t="s">
        <v>667</v>
      </c>
      <c r="C7" s="539">
        <f>C8*100/C8</f>
        <v>100</v>
      </c>
      <c r="D7" s="540">
        <f>D8*100/C8</f>
        <v>0.2536516075658421</v>
      </c>
      <c r="E7" s="540">
        <f>E8*100/C8</f>
        <v>11.883035390252754</v>
      </c>
      <c r="F7" s="541">
        <f>+C7-D7-E7</f>
        <v>87.8633130021814</v>
      </c>
      <c r="G7" s="542"/>
      <c r="H7" s="543"/>
      <c r="I7" s="543"/>
    </row>
    <row r="8" spans="1:10">
      <c r="A8" s="545">
        <v>1</v>
      </c>
      <c r="B8" s="546" t="s">
        <v>671</v>
      </c>
      <c r="C8" s="547">
        <f>SUM(C9:C21)</f>
        <v>3075084</v>
      </c>
      <c r="D8" s="547">
        <f>SUM(D9:D21)</f>
        <v>7800</v>
      </c>
      <c r="E8" s="547">
        <f>SUM(E9:E21)</f>
        <v>365413.32</v>
      </c>
      <c r="F8" s="547">
        <f>C8-D8-E8</f>
        <v>2701870.68</v>
      </c>
      <c r="G8" s="542"/>
      <c r="H8" s="542"/>
      <c r="I8" s="542"/>
    </row>
    <row r="9" spans="1:10">
      <c r="A9" s="548"/>
      <c r="B9" s="549" t="s">
        <v>672</v>
      </c>
      <c r="C9" s="550">
        <f>+[28]เรียงตามเขต!G8</f>
        <v>602630</v>
      </c>
      <c r="D9" s="550">
        <f>+[28]เรียงตามเขต!H8</f>
        <v>0</v>
      </c>
      <c r="E9" s="550">
        <f>+[28]เรียงตามเขต!I8</f>
        <v>135800</v>
      </c>
      <c r="F9" s="550">
        <f>+[28]เรียงตามเขต!J8</f>
        <v>466830</v>
      </c>
      <c r="G9" s="542"/>
      <c r="H9" s="542"/>
      <c r="I9" s="542"/>
    </row>
    <row r="10" spans="1:10">
      <c r="A10" s="548"/>
      <c r="B10" s="549" t="s">
        <v>673</v>
      </c>
      <c r="C10" s="550">
        <f>+[28]เรียงตามเขต!G17</f>
        <v>54000</v>
      </c>
      <c r="D10" s="550">
        <f>+[28]เรียงตามเขต!H17</f>
        <v>0</v>
      </c>
      <c r="E10" s="550">
        <f>+[28]เรียงตามเขต!I17</f>
        <v>0</v>
      </c>
      <c r="F10" s="550">
        <f>+[28]เรียงตามเขต!J17</f>
        <v>54000</v>
      </c>
    </row>
    <row r="11" spans="1:10">
      <c r="A11" s="548"/>
      <c r="B11" s="549" t="s">
        <v>674</v>
      </c>
      <c r="C11" s="550">
        <f>+[28]เรียงตามเขต!G23</f>
        <v>0</v>
      </c>
      <c r="D11" s="550">
        <f>+[28]เรียงตามเขต!H23</f>
        <v>0</v>
      </c>
      <c r="E11" s="550">
        <f>+[28]เรียงตามเขต!I23</f>
        <v>0</v>
      </c>
      <c r="F11" s="550">
        <f>+[28]เรียงตามเขต!J23</f>
        <v>0</v>
      </c>
    </row>
    <row r="12" spans="1:10">
      <c r="A12" s="548"/>
      <c r="B12" s="549" t="s">
        <v>675</v>
      </c>
      <c r="C12" s="550">
        <f>+[28]เรียงตามเขต!G29</f>
        <v>0</v>
      </c>
      <c r="D12" s="550">
        <f>+[28]เรียงตามเขต!H29</f>
        <v>0</v>
      </c>
      <c r="E12" s="550">
        <f>+[28]เรียงตามเขต!I29</f>
        <v>0</v>
      </c>
      <c r="F12" s="550">
        <f>+[28]เรียงตามเขต!J29</f>
        <v>0</v>
      </c>
    </row>
    <row r="13" spans="1:10">
      <c r="A13" s="548"/>
      <c r="B13" s="549" t="s">
        <v>676</v>
      </c>
      <c r="C13" s="550">
        <f>+[28]เรียงตามเขต!G38</f>
        <v>130520</v>
      </c>
      <c r="D13" s="550">
        <f>+[28]เรียงตามเขต!H38</f>
        <v>0</v>
      </c>
      <c r="E13" s="550">
        <f>+[28]เรียงตามเขต!I38</f>
        <v>0</v>
      </c>
      <c r="F13" s="550">
        <f>+[28]เรียงตามเขต!J38</f>
        <v>130520</v>
      </c>
    </row>
    <row r="14" spans="1:10">
      <c r="A14" s="548"/>
      <c r="B14" s="549" t="s">
        <v>677</v>
      </c>
      <c r="C14" s="550">
        <f>+[28]เรียงตามเขต!G47</f>
        <v>139800</v>
      </c>
      <c r="D14" s="550">
        <f>+[28]เรียงตามเขต!H47</f>
        <v>0</v>
      </c>
      <c r="E14" s="550">
        <f>+[28]เรียงตามเขต!I47</f>
        <v>0</v>
      </c>
      <c r="F14" s="550">
        <f>+[28]เรียงตามเขต!J47</f>
        <v>139800</v>
      </c>
    </row>
    <row r="15" spans="1:10">
      <c r="A15" s="548"/>
      <c r="B15" s="549" t="s">
        <v>678</v>
      </c>
      <c r="C15" s="550">
        <f>+[28]เรียงตามเขต!G56</f>
        <v>0</v>
      </c>
      <c r="D15" s="550">
        <f>+[28]เรียงตามเขต!H56</f>
        <v>0</v>
      </c>
      <c r="E15" s="550">
        <f>+[28]เรียงตามเขต!I56</f>
        <v>0</v>
      </c>
      <c r="F15" s="550">
        <f>+[28]เรียงตามเขต!J56</f>
        <v>0</v>
      </c>
    </row>
    <row r="16" spans="1:10">
      <c r="A16" s="548"/>
      <c r="B16" s="549" t="s">
        <v>679</v>
      </c>
      <c r="C16" s="550">
        <f>+[28]เรียงตามเขต!G61</f>
        <v>449364</v>
      </c>
      <c r="D16" s="550">
        <f>+[28]เรียงตามเขต!H61</f>
        <v>0</v>
      </c>
      <c r="E16" s="550">
        <f>+[28]เรียงตามเขต!I61</f>
        <v>158466.94</v>
      </c>
      <c r="F16" s="550">
        <f>+[28]เรียงตามเขต!J61</f>
        <v>290897.06</v>
      </c>
    </row>
    <row r="17" spans="1:10">
      <c r="A17" s="548"/>
      <c r="B17" s="549" t="s">
        <v>680</v>
      </c>
      <c r="C17" s="550">
        <f>+[28]เรียงตามเขต!G69</f>
        <v>0</v>
      </c>
      <c r="D17" s="550">
        <f>+[28]เรียงตามเขต!H69</f>
        <v>0</v>
      </c>
      <c r="E17" s="550">
        <f>+[28]เรียงตามเขต!I69</f>
        <v>0</v>
      </c>
      <c r="F17" s="550">
        <f>+[28]เรียงตามเขต!J69</f>
        <v>0</v>
      </c>
    </row>
    <row r="18" spans="1:10">
      <c r="A18" s="548"/>
      <c r="B18" s="549" t="s">
        <v>681</v>
      </c>
      <c r="C18" s="550">
        <f>+[28]เรียงตามเขต!G74</f>
        <v>337440</v>
      </c>
      <c r="D18" s="550">
        <f>+[28]เรียงตามเขต!H74</f>
        <v>7800</v>
      </c>
      <c r="E18" s="550">
        <f>+[28]เรียงตามเขต!I74</f>
        <v>36243.589999999997</v>
      </c>
      <c r="F18" s="550">
        <f>+[28]เรียงตามเขต!J74</f>
        <v>293396.41000000003</v>
      </c>
    </row>
    <row r="19" spans="1:10">
      <c r="A19" s="548"/>
      <c r="B19" s="549" t="s">
        <v>682</v>
      </c>
      <c r="C19" s="550">
        <f>+[28]เรียงตามเขต!G80</f>
        <v>383960</v>
      </c>
      <c r="D19" s="550">
        <f>+[28]เรียงตามเขต!H80</f>
        <v>0</v>
      </c>
      <c r="E19" s="550">
        <f>+[28]เรียงตามเขต!I80</f>
        <v>0</v>
      </c>
      <c r="F19" s="550">
        <f>+[28]เรียงตามเขต!J80</f>
        <v>383960</v>
      </c>
    </row>
    <row r="20" spans="1:10">
      <c r="A20" s="548"/>
      <c r="B20" s="549" t="s">
        <v>683</v>
      </c>
      <c r="C20" s="550">
        <f>+[28]เรียงตามเขต!G88</f>
        <v>377370</v>
      </c>
      <c r="D20" s="550">
        <f>+[28]เรียงตามเขต!H88</f>
        <v>0</v>
      </c>
      <c r="E20" s="550">
        <f>+[28]เรียงตามเขต!I88</f>
        <v>34902.79</v>
      </c>
      <c r="F20" s="550">
        <f>+[28]เรียงตามเขต!J88</f>
        <v>342467.20999999996</v>
      </c>
    </row>
    <row r="21" spans="1:10">
      <c r="A21" s="548"/>
      <c r="B21" s="549" t="s">
        <v>684</v>
      </c>
      <c r="C21" s="550">
        <f>+[28]เรียงตามเขต!G96</f>
        <v>600000</v>
      </c>
      <c r="D21" s="550">
        <f>+[28]เรียงตามเขต!H96</f>
        <v>0</v>
      </c>
      <c r="E21" s="550">
        <f>+[28]เรียงตามเขต!I96</f>
        <v>0</v>
      </c>
      <c r="F21" s="550">
        <f>+[28]เรียงตามเขต!J96</f>
        <v>600000</v>
      </c>
    </row>
    <row r="22" spans="1:10" s="523" customFormat="1">
      <c r="A22" s="551"/>
      <c r="B22" s="552" t="s">
        <v>667</v>
      </c>
      <c r="C22" s="553">
        <f>C23*100/C23</f>
        <v>100</v>
      </c>
      <c r="D22" s="554">
        <f>D23*100/C23</f>
        <v>0</v>
      </c>
      <c r="E22" s="554">
        <f>E23*100/C23</f>
        <v>0</v>
      </c>
      <c r="F22" s="541">
        <f>+C22-D22-E22</f>
        <v>100</v>
      </c>
      <c r="G22" s="372"/>
      <c r="H22" s="528"/>
      <c r="I22" s="528"/>
      <c r="J22" s="528"/>
    </row>
    <row r="23" spans="1:10">
      <c r="A23" s="545">
        <v>2</v>
      </c>
      <c r="B23" s="546" t="s">
        <v>685</v>
      </c>
      <c r="C23" s="547">
        <f>C24+C25+C26+C29+C31+C28+C27+C32+C30</f>
        <v>900000</v>
      </c>
      <c r="D23" s="547">
        <f>D24+D25+D26+D29+D31+D28+D27+D32+D30</f>
        <v>0</v>
      </c>
      <c r="E23" s="547">
        <f>E24+E25+E26+E29+E31+E28+E27+E32+E30</f>
        <v>0</v>
      </c>
      <c r="F23" s="547">
        <f>F24+F25+F26+F29+F31+F28+F27+F32+F30</f>
        <v>900000</v>
      </c>
    </row>
    <row r="24" spans="1:10" hidden="1">
      <c r="A24" s="548"/>
      <c r="B24" s="555" t="s">
        <v>686</v>
      </c>
      <c r="C24" s="550">
        <f>+[28]เรียงตามเขต!G101</f>
        <v>0</v>
      </c>
      <c r="D24" s="550">
        <f>+[28]เรียงตามเขต!H101</f>
        <v>0</v>
      </c>
      <c r="E24" s="550">
        <f>+[28]เรียงตามเขต!I101</f>
        <v>0</v>
      </c>
      <c r="F24" s="550">
        <f>+[28]เรียงตามเขต!J101</f>
        <v>0</v>
      </c>
    </row>
    <row r="25" spans="1:10" ht="20.25" hidden="1" customHeight="1">
      <c r="A25" s="548"/>
      <c r="B25" s="549" t="s">
        <v>687</v>
      </c>
      <c r="C25" s="550">
        <f>+[28]เรียงตามเขต!G118</f>
        <v>0</v>
      </c>
      <c r="D25" s="550">
        <f>+[28]เรียงตามเขต!H118</f>
        <v>0</v>
      </c>
      <c r="E25" s="550">
        <f>+[28]เรียงตามเขต!I118</f>
        <v>0</v>
      </c>
      <c r="F25" s="550">
        <f>+[28]เรียงตามเขต!J118</f>
        <v>0</v>
      </c>
    </row>
    <row r="26" spans="1:10" hidden="1">
      <c r="A26" s="548"/>
      <c r="B26" s="549" t="s">
        <v>688</v>
      </c>
      <c r="C26" s="550">
        <f>+[28]เรียงตามเขต!E514</f>
        <v>0</v>
      </c>
      <c r="D26" s="550">
        <f>+[28]เรียงตามเขต!F514</f>
        <v>0</v>
      </c>
      <c r="E26" s="550">
        <f>+[28]เรียงตามเขต!G514</f>
        <v>0</v>
      </c>
      <c r="F26" s="550">
        <f>+[28]เรียงตามเขต!H514</f>
        <v>0</v>
      </c>
    </row>
    <row r="27" spans="1:10" hidden="1">
      <c r="A27" s="548"/>
      <c r="B27" s="549" t="s">
        <v>689</v>
      </c>
      <c r="C27" s="550">
        <f>+[28]เรียงตามเขต!G119</f>
        <v>400000</v>
      </c>
      <c r="D27" s="550">
        <f>+[28]เรียงตามเขต!H119</f>
        <v>0</v>
      </c>
      <c r="E27" s="550">
        <f>+[28]เรียงตามเขต!I119</f>
        <v>0</v>
      </c>
      <c r="F27" s="550">
        <f>+[28]เรียงตามเขต!J119</f>
        <v>400000</v>
      </c>
    </row>
    <row r="28" spans="1:10" hidden="1">
      <c r="A28" s="548"/>
      <c r="B28" s="549" t="s">
        <v>690</v>
      </c>
      <c r="C28" s="550">
        <f>+[28]เรียงตามเขต!G120</f>
        <v>0</v>
      </c>
      <c r="D28" s="550">
        <f>+[28]เรียงตามเขต!H120</f>
        <v>0</v>
      </c>
      <c r="E28" s="550">
        <f>+[28]เรียงตามเขต!I120</f>
        <v>0</v>
      </c>
      <c r="F28" s="550">
        <f>+[28]เรียงตามเขต!J120</f>
        <v>0</v>
      </c>
    </row>
    <row r="29" spans="1:10" hidden="1">
      <c r="A29" s="548"/>
      <c r="B29" s="549" t="s">
        <v>691</v>
      </c>
      <c r="C29" s="550">
        <f>+[28]เรียงตามเขต!E517</f>
        <v>0</v>
      </c>
      <c r="D29" s="550">
        <f>+[28]เรียงตามเขต!F517</f>
        <v>0</v>
      </c>
      <c r="E29" s="550">
        <f>+[28]เรียงตามเขต!G517</f>
        <v>0</v>
      </c>
      <c r="F29" s="550">
        <f>+[28]เรียงตามเขต!H517</f>
        <v>0</v>
      </c>
    </row>
    <row r="30" spans="1:10" hidden="1">
      <c r="A30" s="549"/>
      <c r="B30" s="549" t="s">
        <v>692</v>
      </c>
      <c r="C30" s="550">
        <f>+[28]เรียงตามเขต!G121</f>
        <v>0</v>
      </c>
      <c r="D30" s="550">
        <f>+[28]เรียงตามเขต!H121</f>
        <v>0</v>
      </c>
      <c r="E30" s="550">
        <f>+[28]เรียงตามเขต!I121</f>
        <v>0</v>
      </c>
      <c r="F30" s="550">
        <f>+[28]เรียงตามเขต!J121</f>
        <v>0</v>
      </c>
    </row>
    <row r="31" spans="1:10" hidden="1">
      <c r="A31" s="548"/>
      <c r="B31" s="549" t="s">
        <v>693</v>
      </c>
      <c r="C31" s="550">
        <f>+[28]เรียงตามเขต!G122</f>
        <v>0</v>
      </c>
      <c r="D31" s="550">
        <f>+[28]เรียงตามเขต!H122</f>
        <v>0</v>
      </c>
      <c r="E31" s="550">
        <f>+[28]เรียงตามเขต!I122</f>
        <v>0</v>
      </c>
      <c r="F31" s="550">
        <f>+[28]เรียงตามเขต!J122</f>
        <v>0</v>
      </c>
    </row>
    <row r="32" spans="1:10">
      <c r="A32" s="549"/>
      <c r="B32" s="549" t="s">
        <v>694</v>
      </c>
      <c r="C32" s="550">
        <f>+[28]เรียงตามเขต!G123</f>
        <v>500000</v>
      </c>
      <c r="D32" s="550">
        <f>+[28]เรียงตามเขต!H123</f>
        <v>0</v>
      </c>
      <c r="E32" s="550">
        <f>+[28]เรียงตามเขต!I123</f>
        <v>0</v>
      </c>
      <c r="F32" s="550">
        <f>+[28]เรียงตามเขต!J123</f>
        <v>500000</v>
      </c>
    </row>
    <row r="33" spans="1:10">
      <c r="A33" s="556"/>
      <c r="B33" s="557"/>
      <c r="C33" s="557"/>
      <c r="D33" s="558"/>
      <c r="E33" s="558"/>
      <c r="F33" s="559"/>
    </row>
    <row r="34" spans="1:10">
      <c r="A34" s="1"/>
      <c r="B34" s="1"/>
      <c r="C34" s="1"/>
      <c r="D34" s="1"/>
      <c r="E34" s="1"/>
      <c r="F34" s="560"/>
    </row>
    <row r="35" spans="1:10" s="565" customFormat="1">
      <c r="A35" s="561" t="s">
        <v>695</v>
      </c>
      <c r="B35" s="562"/>
      <c r="C35" s="563"/>
      <c r="D35" s="564"/>
      <c r="F35" s="566"/>
      <c r="G35" s="566"/>
      <c r="H35" s="566"/>
      <c r="I35" s="566"/>
      <c r="J35" s="566"/>
    </row>
    <row r="36" spans="1:10" s="565" customFormat="1">
      <c r="A36" s="567"/>
      <c r="B36" s="568" t="s">
        <v>696</v>
      </c>
      <c r="E36" s="569"/>
      <c r="F36" s="570"/>
      <c r="G36" s="566"/>
      <c r="H36" s="566"/>
      <c r="I36" s="566"/>
      <c r="J36" s="566"/>
    </row>
    <row r="37" spans="1:10" s="565" customFormat="1">
      <c r="A37" s="571"/>
      <c r="B37" s="572"/>
      <c r="E37" s="569"/>
      <c r="F37" s="573"/>
      <c r="G37" s="566"/>
      <c r="H37" s="566"/>
      <c r="I37" s="566"/>
      <c r="J37" s="566"/>
    </row>
    <row r="38" spans="1:10" s="565" customFormat="1" ht="21" customHeight="1">
      <c r="A38" s="574"/>
      <c r="B38" s="575"/>
      <c r="C38" s="251"/>
      <c r="D38" s="251"/>
      <c r="E38" s="576"/>
      <c r="F38" s="577"/>
      <c r="G38" s="566"/>
      <c r="H38" s="566"/>
      <c r="I38" s="566"/>
      <c r="J38" s="566"/>
    </row>
    <row r="39" spans="1:10" s="565" customFormat="1">
      <c r="C39" s="578"/>
      <c r="D39" s="251"/>
      <c r="E39" s="576"/>
      <c r="F39" s="579"/>
      <c r="G39" s="566"/>
      <c r="H39" s="566"/>
      <c r="I39" s="566"/>
      <c r="J39" s="566"/>
    </row>
    <row r="40" spans="1:10" s="565" customFormat="1">
      <c r="F40" s="566"/>
      <c r="G40" s="566"/>
      <c r="H40" s="566"/>
      <c r="I40" s="566"/>
      <c r="J40" s="566"/>
    </row>
    <row r="41" spans="1:10" s="580" customFormat="1">
      <c r="F41" s="542"/>
      <c r="G41" s="542"/>
      <c r="H41" s="542"/>
      <c r="I41" s="542"/>
      <c r="J41" s="542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topLeftCell="A7" workbookViewId="0">
      <selection activeCell="A17" sqref="A17"/>
    </sheetView>
  </sheetViews>
  <sheetFormatPr defaultRowHeight="21"/>
  <cols>
    <col min="1" max="1" width="7.25" style="1" customWidth="1"/>
    <col min="2" max="2" width="20.625" style="1" customWidth="1"/>
    <col min="3" max="3" width="14.375" style="1" customWidth="1"/>
    <col min="4" max="4" width="14.125" style="1" customWidth="1"/>
    <col min="5" max="5" width="12.5" style="1" customWidth="1"/>
    <col min="6" max="6" width="6.5" style="1" bestFit="1" customWidth="1"/>
    <col min="7" max="7" width="13.125" style="1" customWidth="1"/>
    <col min="8" max="8" width="6.5" style="1" bestFit="1" customWidth="1"/>
    <col min="9" max="9" width="13.375" style="1" customWidth="1"/>
    <col min="10" max="10" width="7.625" style="1" customWidth="1"/>
    <col min="11" max="11" width="13.625" style="1" customWidth="1"/>
    <col min="12" max="12" width="8.625" style="1" customWidth="1"/>
    <col min="13" max="13" width="13.375" style="1" customWidth="1"/>
    <col min="14" max="14" width="7.5" style="1" customWidth="1"/>
    <col min="15" max="15" width="14.125" style="1" customWidth="1"/>
    <col min="16" max="16" width="8.875" style="1" customWidth="1"/>
    <col min="17" max="17" width="17.125" style="1" customWidth="1"/>
    <col min="18" max="18" width="8.75" style="1" customWidth="1"/>
    <col min="19" max="16384" width="9" style="1"/>
  </cols>
  <sheetData>
    <row r="1" spans="1:18" s="37" customFormat="1">
      <c r="A1" s="1009" t="s">
        <v>105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  <c r="Q1" s="1009"/>
      <c r="R1" s="1009"/>
    </row>
    <row r="2" spans="1:18" s="37" customFormat="1">
      <c r="A2" s="1010" t="s">
        <v>158</v>
      </c>
      <c r="B2" s="1010"/>
      <c r="C2" s="1010"/>
      <c r="D2" s="1010"/>
      <c r="E2" s="1010"/>
      <c r="F2" s="1010"/>
      <c r="G2" s="1010"/>
      <c r="H2" s="1010"/>
      <c r="I2" s="1010"/>
      <c r="J2" s="1010"/>
      <c r="K2" s="1010"/>
      <c r="L2" s="1010"/>
      <c r="M2" s="1010"/>
      <c r="N2" s="1010"/>
      <c r="O2" s="1010"/>
      <c r="P2" s="1010"/>
      <c r="Q2" s="1010"/>
      <c r="R2" s="1010"/>
    </row>
    <row r="3" spans="1:18" s="37" customFormat="1">
      <c r="A3" s="1010" t="str">
        <f>+'ยอดเบิกตาม GFMIS'!A3:Q3</f>
        <v>ตั้งแต่วันที่ 1 ตุลาคม 2565 - 31 ธันวาคม 2565</v>
      </c>
      <c r="B3" s="1010"/>
      <c r="C3" s="1010"/>
      <c r="D3" s="1010"/>
      <c r="E3" s="1010"/>
      <c r="F3" s="1010"/>
      <c r="G3" s="1010"/>
      <c r="H3" s="1010"/>
      <c r="I3" s="1010"/>
      <c r="J3" s="1010"/>
      <c r="K3" s="1010"/>
      <c r="L3" s="1010"/>
      <c r="M3" s="1010"/>
      <c r="N3" s="1010"/>
      <c r="O3" s="1010"/>
      <c r="P3" s="1010"/>
      <c r="Q3" s="1010"/>
      <c r="R3" s="1010"/>
    </row>
    <row r="4" spans="1:18" s="37" customFormat="1">
      <c r="A4" s="1010" t="str">
        <f>+'ยอดเบิกตาม GFMIS'!A4:Q4</f>
        <v xml:space="preserve"> เป้าหมาย อย. สิ้นสุด 31 ธ.ค.65  (ยอดเบิกจ่ายในภาพรวมรับจัดสรรงวดที่ 1 ร้อยละ 37.50 , งบลงทุน (เฉพาะรายการครุภัณฑ์จัดซื้อ) ร้อยละ 50)</v>
      </c>
      <c r="B4" s="1010"/>
      <c r="C4" s="1010"/>
      <c r="D4" s="1010"/>
      <c r="E4" s="1010"/>
      <c r="F4" s="1010"/>
      <c r="G4" s="1010"/>
      <c r="H4" s="1010"/>
      <c r="I4" s="1010"/>
      <c r="J4" s="1010"/>
      <c r="K4" s="1010"/>
      <c r="L4" s="1010"/>
      <c r="M4" s="1010"/>
      <c r="N4" s="1010"/>
      <c r="O4" s="1010"/>
      <c r="P4" s="1010"/>
      <c r="Q4" s="1010"/>
      <c r="R4" s="1010"/>
    </row>
    <row r="5" spans="1:18" s="37" customFormat="1">
      <c r="A5" s="1010" t="str">
        <f>+'ยอดเบิกตาม GFMIS'!A5:Q5</f>
        <v xml:space="preserve"> เป้าหมายตามมติ ครม สิ้นสุด 31 ธ.ค.65  (ยอดเบิกจ่ายในภาพรวม ร้อยละ 32 , งบลงทุน  ร้อยละ 19)</v>
      </c>
      <c r="B5" s="1010"/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1010"/>
      <c r="N5" s="1010"/>
      <c r="O5" s="1010"/>
      <c r="P5" s="1010"/>
      <c r="Q5" s="1010"/>
      <c r="R5" s="1010"/>
    </row>
    <row r="6" spans="1:18" s="37" customFormat="1">
      <c r="A6" s="1010" t="str">
        <f>+'ยอดเบิกตาม GFMIS'!A6:Q6</f>
        <v xml:space="preserve"> เป้าหมายตามมติ ครม สิ้นสุด 31 ธ.ค.65  (ยอดใช้จ่ายในภาพรวม ร้อยละ 34.08 , งบลงทุน  ร้อยละ 28.96)</v>
      </c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  <c r="R6" s="1010"/>
    </row>
    <row r="8" spans="1:18" s="37" customFormat="1" ht="30" customHeight="1">
      <c r="A8" s="1015" t="s">
        <v>106</v>
      </c>
      <c r="B8" s="1015" t="s">
        <v>107</v>
      </c>
      <c r="C8" s="1003" t="s">
        <v>118</v>
      </c>
      <c r="D8" s="1003" t="s">
        <v>120</v>
      </c>
      <c r="E8" s="1005" t="s">
        <v>5</v>
      </c>
      <c r="F8" s="1005"/>
      <c r="G8" s="1011" t="s">
        <v>6</v>
      </c>
      <c r="H8" s="1011"/>
      <c r="I8" s="1012" t="s">
        <v>7</v>
      </c>
      <c r="J8" s="1012"/>
      <c r="K8" s="1013" t="s">
        <v>127</v>
      </c>
      <c r="L8" s="1013"/>
      <c r="M8" s="1014" t="s">
        <v>121</v>
      </c>
      <c r="N8" s="1014"/>
      <c r="O8" s="1008" t="s">
        <v>128</v>
      </c>
      <c r="P8" s="1008"/>
      <c r="Q8" s="1008" t="s">
        <v>129</v>
      </c>
      <c r="R8" s="1008"/>
    </row>
    <row r="9" spans="1:18" s="37" customFormat="1">
      <c r="A9" s="1016"/>
      <c r="B9" s="1016"/>
      <c r="C9" s="1004"/>
      <c r="D9" s="1004"/>
      <c r="E9" s="38" t="s">
        <v>119</v>
      </c>
      <c r="F9" s="38" t="s">
        <v>124</v>
      </c>
      <c r="G9" s="38" t="s">
        <v>119</v>
      </c>
      <c r="H9" s="38" t="s">
        <v>124</v>
      </c>
      <c r="I9" s="38" t="s">
        <v>119</v>
      </c>
      <c r="J9" s="38" t="s">
        <v>124</v>
      </c>
      <c r="K9" s="38" t="s">
        <v>119</v>
      </c>
      <c r="L9" s="38" t="s">
        <v>124</v>
      </c>
      <c r="M9" s="38" t="s">
        <v>119</v>
      </c>
      <c r="N9" s="38" t="s">
        <v>124</v>
      </c>
      <c r="O9" s="38" t="s">
        <v>119</v>
      </c>
      <c r="P9" s="38" t="s">
        <v>124</v>
      </c>
      <c r="Q9" s="38" t="s">
        <v>119</v>
      </c>
      <c r="R9" s="38" t="s">
        <v>124</v>
      </c>
    </row>
    <row r="10" spans="1:18" s="37" customFormat="1">
      <c r="A10" s="3">
        <v>1</v>
      </c>
      <c r="B10" s="4" t="s">
        <v>109</v>
      </c>
      <c r="C10" s="42">
        <f>+[2]สรุป!$K$18</f>
        <v>748000</v>
      </c>
      <c r="D10" s="42">
        <f>+[2]สรุป!$L$18</f>
        <v>374000</v>
      </c>
      <c r="E10" s="42">
        <f>+[2]สรุป!$M$18</f>
        <v>0</v>
      </c>
      <c r="F10" s="42">
        <f>+E10*100/$D10</f>
        <v>0</v>
      </c>
      <c r="G10" s="42">
        <f>+[2]สรุป!$N$18</f>
        <v>3885</v>
      </c>
      <c r="H10" s="42">
        <f>+G10*100/$D10</f>
        <v>1.0387700534759359</v>
      </c>
      <c r="I10" s="42">
        <f>+[2]สรุป!$O$18</f>
        <v>0</v>
      </c>
      <c r="J10" s="42">
        <f>+I10*100/$D10</f>
        <v>0</v>
      </c>
      <c r="K10" s="42">
        <f>+[2]สรุป!$P$18</f>
        <v>266554</v>
      </c>
      <c r="L10" s="42">
        <f>+K10*100/$D10</f>
        <v>71.271122994652401</v>
      </c>
      <c r="M10" s="42">
        <f>SUM(E10,G10,I10,K10)</f>
        <v>270439</v>
      </c>
      <c r="N10" s="42">
        <f>+M10*100/$D10</f>
        <v>72.309893048128345</v>
      </c>
      <c r="O10" s="42">
        <f>+$D$10-$M$10</f>
        <v>103561</v>
      </c>
      <c r="P10" s="42">
        <f>+O10*100/$D10</f>
        <v>27.690106951871659</v>
      </c>
      <c r="Q10" s="42">
        <f>+$C$10-$M$10</f>
        <v>477561</v>
      </c>
      <c r="R10" s="42">
        <f>+Q10*100/C10</f>
        <v>63.845053475935828</v>
      </c>
    </row>
    <row r="11" spans="1:18" s="37" customFormat="1">
      <c r="A11" s="3">
        <v>2</v>
      </c>
      <c r="B11" s="4" t="s">
        <v>110</v>
      </c>
      <c r="C11" s="42">
        <f>+[2]สรุป!$K$19</f>
        <v>991000</v>
      </c>
      <c r="D11" s="42">
        <f>+[2]สรุป!$L$19</f>
        <v>495500</v>
      </c>
      <c r="E11" s="42">
        <f>+[2]สรุป!$M$19</f>
        <v>0</v>
      </c>
      <c r="F11" s="42">
        <f>+E11*100/$D11</f>
        <v>0</v>
      </c>
      <c r="G11" s="42">
        <f>+[2]สรุป!$N$19</f>
        <v>0</v>
      </c>
      <c r="H11" s="42">
        <f>+G11*100/$D11</f>
        <v>0</v>
      </c>
      <c r="I11" s="42">
        <f>+[2]สรุป!$O$19</f>
        <v>199648</v>
      </c>
      <c r="J11" s="42">
        <f>+I11*100/$D11</f>
        <v>40.292230070635725</v>
      </c>
      <c r="K11" s="42">
        <f>+[2]สรุป!$P$19</f>
        <v>203580.65</v>
      </c>
      <c r="L11" s="42">
        <f>+K11*100/$D11</f>
        <v>41.085903128153383</v>
      </c>
      <c r="M11" s="42">
        <f>SUM(E11,G11,I11,K11)</f>
        <v>403228.65</v>
      </c>
      <c r="N11" s="42">
        <f>+M11*100/$D11</f>
        <v>81.378133198789101</v>
      </c>
      <c r="O11" s="42">
        <f>+$D$11-$M$11</f>
        <v>92271.349999999977</v>
      </c>
      <c r="P11" s="42">
        <f>+O11*100/$D11</f>
        <v>18.621866801210896</v>
      </c>
      <c r="Q11" s="42">
        <f>+$C$11-$M$11</f>
        <v>587771.35</v>
      </c>
      <c r="R11" s="42">
        <f>+Q11*100/C11</f>
        <v>59.31093340060545</v>
      </c>
    </row>
    <row r="12" spans="1:18" s="37" customFormat="1">
      <c r="A12" s="3">
        <v>3</v>
      </c>
      <c r="B12" s="4" t="s">
        <v>112</v>
      </c>
      <c r="C12" s="42">
        <f>+[2]สรุป!$K$21</f>
        <v>363400</v>
      </c>
      <c r="D12" s="42">
        <f>+[2]สรุป!$L$21</f>
        <v>181700</v>
      </c>
      <c r="E12" s="42">
        <f>+[2]สรุป!$M$21</f>
        <v>0</v>
      </c>
      <c r="F12" s="42">
        <f>+E12*100/$D12</f>
        <v>0</v>
      </c>
      <c r="G12" s="42">
        <f>+[2]สรุป!$N$21</f>
        <v>0</v>
      </c>
      <c r="H12" s="42">
        <f>+G12*100/$D12</f>
        <v>0</v>
      </c>
      <c r="I12" s="42">
        <f>+[2]สรุป!$O$21</f>
        <v>0</v>
      </c>
      <c r="J12" s="42">
        <f>+I12*100/$D12</f>
        <v>0</v>
      </c>
      <c r="K12" s="42">
        <f>+[2]สรุป!$P$21</f>
        <v>1800</v>
      </c>
      <c r="L12" s="42">
        <f>+K12*100/$D12</f>
        <v>0.99064391854705558</v>
      </c>
      <c r="M12" s="42">
        <f>SUM(E12,G12,I12,K12)</f>
        <v>1800</v>
      </c>
      <c r="N12" s="42">
        <f>+M12*100/$D12</f>
        <v>0.99064391854705558</v>
      </c>
      <c r="O12" s="42">
        <f>+$D$12-$M$12</f>
        <v>179900</v>
      </c>
      <c r="P12" s="42">
        <f>+O12*100/$D12</f>
        <v>99.00935608145295</v>
      </c>
      <c r="Q12" s="42">
        <f>+$C$12-$M$12</f>
        <v>361600</v>
      </c>
      <c r="R12" s="42">
        <f>+Q12*100/C12</f>
        <v>99.504678040726475</v>
      </c>
    </row>
    <row r="13" spans="1:18" s="37" customFormat="1">
      <c r="A13" s="3">
        <v>4</v>
      </c>
      <c r="B13" s="4" t="s">
        <v>111</v>
      </c>
      <c r="C13" s="42">
        <f>+[2]สรุป!$K$20</f>
        <v>230000</v>
      </c>
      <c r="D13" s="42">
        <f>+[2]สรุป!$L$20</f>
        <v>115000</v>
      </c>
      <c r="E13" s="42">
        <f>+[2]สรุป!$M$20</f>
        <v>0</v>
      </c>
      <c r="F13" s="42">
        <f>+E13*100/$D13</f>
        <v>0</v>
      </c>
      <c r="G13" s="42">
        <f>+[2]สรุป!$N$20</f>
        <v>0</v>
      </c>
      <c r="H13" s="42">
        <f>+G13*100/$D13</f>
        <v>0</v>
      </c>
      <c r="I13" s="42">
        <f>+[2]สรุป!$O$20</f>
        <v>0</v>
      </c>
      <c r="J13" s="42">
        <f>+I13*100/$D13</f>
        <v>0</v>
      </c>
      <c r="K13" s="42">
        <f>+[2]สรุป!$P$20</f>
        <v>0</v>
      </c>
      <c r="L13" s="42">
        <f>+K13*100/$D13</f>
        <v>0</v>
      </c>
      <c r="M13" s="42">
        <f>SUM(E13,G13,I13,K13)</f>
        <v>0</v>
      </c>
      <c r="N13" s="42">
        <f>+M13*100/$D13</f>
        <v>0</v>
      </c>
      <c r="O13" s="42">
        <f>+$D$13-$M$13</f>
        <v>115000</v>
      </c>
      <c r="P13" s="42">
        <f>+O13*100/$D13</f>
        <v>100</v>
      </c>
      <c r="Q13" s="42">
        <f>+$C$13-$M$13</f>
        <v>230000</v>
      </c>
      <c r="R13" s="42">
        <f>+Q13*100/C13</f>
        <v>100</v>
      </c>
    </row>
    <row r="14" spans="1:18" s="37" customFormat="1">
      <c r="A14" s="3">
        <v>5</v>
      </c>
      <c r="B14" s="4" t="s">
        <v>108</v>
      </c>
      <c r="C14" s="42">
        <f>+[2]สรุป!$K$17</f>
        <v>0</v>
      </c>
      <c r="D14" s="42">
        <f>+[2]สรุป!$L$17</f>
        <v>0</v>
      </c>
      <c r="E14" s="42">
        <f>+[2]สรุป!$M$17</f>
        <v>0</v>
      </c>
      <c r="F14" s="42">
        <v>0</v>
      </c>
      <c r="G14" s="42"/>
      <c r="H14" s="42">
        <v>0</v>
      </c>
      <c r="I14" s="42">
        <f>+[2]สรุป!$O$17</f>
        <v>0</v>
      </c>
      <c r="J14" s="42">
        <v>0</v>
      </c>
      <c r="K14" s="42">
        <f>+[2]สรุป!$P$17</f>
        <v>0</v>
      </c>
      <c r="L14" s="42">
        <v>0</v>
      </c>
      <c r="M14" s="42">
        <f>SUM(E14,G14,I14,K14)</f>
        <v>0</v>
      </c>
      <c r="N14" s="42">
        <v>0</v>
      </c>
      <c r="O14" s="42">
        <f>+$D$14-$M$14</f>
        <v>0</v>
      </c>
      <c r="P14" s="42">
        <v>0</v>
      </c>
      <c r="Q14" s="42">
        <f>+$C$14-$M$14</f>
        <v>0</v>
      </c>
      <c r="R14" s="42">
        <v>0</v>
      </c>
    </row>
    <row r="15" spans="1:18" s="37" customFormat="1">
      <c r="A15" s="3">
        <v>6</v>
      </c>
      <c r="B15" s="4" t="s">
        <v>113</v>
      </c>
      <c r="C15" s="42">
        <f>SUM(C16:C23)</f>
        <v>3896260</v>
      </c>
      <c r="D15" s="42">
        <f>SUM(D16:D23)</f>
        <v>1864010</v>
      </c>
      <c r="E15" s="42">
        <f>SUM(E16:E23)</f>
        <v>0</v>
      </c>
      <c r="F15" s="42">
        <f t="shared" ref="F15:P24" si="0">+E15*100/$D15</f>
        <v>0</v>
      </c>
      <c r="G15" s="42">
        <f>SUM(G16:G23)</f>
        <v>0</v>
      </c>
      <c r="H15" s="42">
        <f t="shared" si="0"/>
        <v>0</v>
      </c>
      <c r="I15" s="42">
        <f>SUM(I16:I23)</f>
        <v>0</v>
      </c>
      <c r="J15" s="42">
        <f t="shared" ref="J15" si="1">+I15*100/$D15</f>
        <v>0</v>
      </c>
      <c r="K15" s="42">
        <f>SUM(K16:K23)</f>
        <v>778052.62</v>
      </c>
      <c r="L15" s="42">
        <f t="shared" ref="L15" si="2">+K15*100/$D15</f>
        <v>41.740796454954641</v>
      </c>
      <c r="M15" s="42">
        <f t="shared" ref="M15:M23" si="3">SUM(E15,G15,I15,K15)</f>
        <v>778052.62</v>
      </c>
      <c r="N15" s="42">
        <f t="shared" ref="N15" si="4">+M15*100/$D15</f>
        <v>41.740796454954641</v>
      </c>
      <c r="O15" s="42">
        <f>SUM(O16:O23)</f>
        <v>1085957.3799999999</v>
      </c>
      <c r="P15" s="42">
        <f t="shared" ref="P15" si="5">+O15*100/$D15</f>
        <v>58.259203545045352</v>
      </c>
      <c r="Q15" s="42">
        <f>SUM(Q16:Q23)</f>
        <v>3118207.38</v>
      </c>
      <c r="R15" s="42">
        <f t="shared" ref="R15:R24" si="6">+Q15*100/C15</f>
        <v>80.030782853300337</v>
      </c>
    </row>
    <row r="16" spans="1:18">
      <c r="A16" s="40"/>
      <c r="B16" s="5" t="s">
        <v>114</v>
      </c>
      <c r="C16" s="39">
        <f>+[2]สรุป!$K$23</f>
        <v>180000</v>
      </c>
      <c r="D16" s="39">
        <f>+[2]สรุป!$L$23</f>
        <v>75000</v>
      </c>
      <c r="E16" s="39">
        <f>+[2]สรุป!$M$23</f>
        <v>0</v>
      </c>
      <c r="F16" s="39">
        <f t="shared" si="0"/>
        <v>0</v>
      </c>
      <c r="G16" s="39">
        <f>+[2]สรุป!$N$23</f>
        <v>0</v>
      </c>
      <c r="H16" s="39">
        <f t="shared" si="0"/>
        <v>0</v>
      </c>
      <c r="I16" s="39">
        <f>+[2]สรุป!$O$23</f>
        <v>0</v>
      </c>
      <c r="J16" s="39">
        <f t="shared" ref="J16" si="7">+I16*100/$D16</f>
        <v>0</v>
      </c>
      <c r="K16" s="39">
        <f>+[2]สรุป!$P$23</f>
        <v>17973.91</v>
      </c>
      <c r="L16" s="39">
        <f t="shared" ref="L16" si="8">+K16*100/$D16</f>
        <v>23.965213333333335</v>
      </c>
      <c r="M16" s="39">
        <f t="shared" si="3"/>
        <v>17973.91</v>
      </c>
      <c r="N16" s="39">
        <f t="shared" ref="N16" si="9">+M16*100/$D16</f>
        <v>23.965213333333335</v>
      </c>
      <c r="O16" s="39">
        <f>+$D$16-$M$16</f>
        <v>57026.09</v>
      </c>
      <c r="P16" s="39">
        <f t="shared" ref="P16" si="10">+O16*100/$D16</f>
        <v>76.034786666666662</v>
      </c>
      <c r="Q16" s="39">
        <f>+$C$16-$M$16</f>
        <v>162026.09</v>
      </c>
      <c r="R16" s="39">
        <f t="shared" si="6"/>
        <v>90.014494444444438</v>
      </c>
    </row>
    <row r="17" spans="1:18">
      <c r="A17" s="40"/>
      <c r="B17" s="5" t="s">
        <v>115</v>
      </c>
      <c r="C17" s="39">
        <f>+[2]สรุป!$K$24</f>
        <v>266000</v>
      </c>
      <c r="D17" s="39">
        <f>+[2]สรุป!$L$24</f>
        <v>110835</v>
      </c>
      <c r="E17" s="39">
        <f>+[2]สรุป!$M$24</f>
        <v>0</v>
      </c>
      <c r="F17" s="39">
        <f t="shared" si="0"/>
        <v>0</v>
      </c>
      <c r="G17" s="39">
        <f>+[2]สรุป!$N$24</f>
        <v>0</v>
      </c>
      <c r="H17" s="39">
        <f t="shared" si="0"/>
        <v>0</v>
      </c>
      <c r="I17" s="39">
        <f>+[2]สรุป!$O$24</f>
        <v>0</v>
      </c>
      <c r="J17" s="39">
        <f t="shared" ref="J17" si="11">+I17*100/$D17</f>
        <v>0</v>
      </c>
      <c r="K17" s="39">
        <f>+[2]สรุป!$P$24</f>
        <v>40293.71</v>
      </c>
      <c r="L17" s="39">
        <f t="shared" ref="L17" si="12">+K17*100/$D17</f>
        <v>36.354680380746153</v>
      </c>
      <c r="M17" s="39">
        <f t="shared" si="3"/>
        <v>40293.71</v>
      </c>
      <c r="N17" s="39">
        <f t="shared" ref="N17" si="13">+M17*100/$D17</f>
        <v>36.354680380746153</v>
      </c>
      <c r="O17" s="39">
        <f>+$D$17-$M$17</f>
        <v>70541.290000000008</v>
      </c>
      <c r="P17" s="39">
        <f t="shared" ref="P17" si="14">+O17*100/$D17</f>
        <v>63.645319619253854</v>
      </c>
      <c r="Q17" s="39">
        <f>+$C$17-$M$17</f>
        <v>225706.29</v>
      </c>
      <c r="R17" s="39">
        <f t="shared" si="6"/>
        <v>84.851988721804517</v>
      </c>
    </row>
    <row r="18" spans="1:18">
      <c r="A18" s="40"/>
      <c r="B18" s="5" t="s">
        <v>116</v>
      </c>
      <c r="C18" s="39">
        <f>+[2]สรุป!$K$25</f>
        <v>1000000</v>
      </c>
      <c r="D18" s="39">
        <f>+[2]สรุป!$L$25</f>
        <v>500000</v>
      </c>
      <c r="E18" s="39">
        <f>+[2]สรุป!$M$25</f>
        <v>0</v>
      </c>
      <c r="F18" s="39">
        <f t="shared" si="0"/>
        <v>0</v>
      </c>
      <c r="G18" s="39">
        <f>+[2]สรุป!$N$25</f>
        <v>0</v>
      </c>
      <c r="H18" s="39">
        <f t="shared" si="0"/>
        <v>0</v>
      </c>
      <c r="I18" s="39">
        <f>+[2]สรุป!$O$25</f>
        <v>0</v>
      </c>
      <c r="J18" s="39">
        <f t="shared" ref="J18" si="15">+I18*100/$D18</f>
        <v>0</v>
      </c>
      <c r="K18" s="39">
        <f>+[2]สรุป!$P$25</f>
        <v>0</v>
      </c>
      <c r="L18" s="39">
        <f t="shared" ref="L18" si="16">+K18*100/$D18</f>
        <v>0</v>
      </c>
      <c r="M18" s="39">
        <f t="shared" si="3"/>
        <v>0</v>
      </c>
      <c r="N18" s="39">
        <f t="shared" ref="N18" si="17">+M18*100/$D18</f>
        <v>0</v>
      </c>
      <c r="O18" s="39">
        <f>+$D$18-$M$18</f>
        <v>500000</v>
      </c>
      <c r="P18" s="39">
        <f t="shared" ref="P18" si="18">+O18*100/$D18</f>
        <v>100</v>
      </c>
      <c r="Q18" s="39">
        <f>+$C$18-$M$18</f>
        <v>1000000</v>
      </c>
      <c r="R18" s="39">
        <f t="shared" si="6"/>
        <v>100</v>
      </c>
    </row>
    <row r="19" spans="1:18">
      <c r="A19" s="40"/>
      <c r="B19" s="5" t="s">
        <v>122</v>
      </c>
      <c r="C19" s="39">
        <f>+[2]สรุป!$K$26</f>
        <v>640060</v>
      </c>
      <c r="D19" s="39">
        <f>+[2]สรุป!$L$26</f>
        <v>640060</v>
      </c>
      <c r="E19" s="39">
        <f>+[2]สรุป!$M$26</f>
        <v>0</v>
      </c>
      <c r="F19" s="39">
        <f t="shared" si="0"/>
        <v>0</v>
      </c>
      <c r="G19" s="39">
        <f>+[2]สรุป!$N$26</f>
        <v>0</v>
      </c>
      <c r="H19" s="39">
        <f t="shared" si="0"/>
        <v>0</v>
      </c>
      <c r="I19" s="39">
        <f>+[2]สรุป!$O$26</f>
        <v>0</v>
      </c>
      <c r="J19" s="39">
        <f t="shared" ref="J19" si="19">+I19*100/$D19</f>
        <v>0</v>
      </c>
      <c r="K19" s="39">
        <f>+[2]สรุป!$P$26</f>
        <v>555975</v>
      </c>
      <c r="L19" s="39">
        <f t="shared" ref="L19" si="20">+K19*100/$D19</f>
        <v>86.862950348404837</v>
      </c>
      <c r="M19" s="39">
        <f t="shared" si="3"/>
        <v>555975</v>
      </c>
      <c r="N19" s="39">
        <f t="shared" ref="N19" si="21">+M19*100/$D19</f>
        <v>86.862950348404837</v>
      </c>
      <c r="O19" s="39">
        <f>+$D$19-$M$19</f>
        <v>84085</v>
      </c>
      <c r="P19" s="39">
        <f t="shared" ref="P19" si="22">+O19*100/$D19</f>
        <v>13.137049651595163</v>
      </c>
      <c r="Q19" s="39">
        <f>+$C$19-$M$19</f>
        <v>84085</v>
      </c>
      <c r="R19" s="39">
        <f t="shared" si="6"/>
        <v>13.137049651595163</v>
      </c>
    </row>
    <row r="20" spans="1:18">
      <c r="A20" s="40"/>
      <c r="B20" s="5" t="s">
        <v>123</v>
      </c>
      <c r="C20" s="39">
        <f>+[2]สรุป!$K$27</f>
        <v>624000</v>
      </c>
      <c r="D20" s="39">
        <f>+[2]สรุป!$L$27</f>
        <v>242915</v>
      </c>
      <c r="E20" s="39">
        <f>+[2]สรุป!$M$27</f>
        <v>0</v>
      </c>
      <c r="F20" s="39">
        <f t="shared" si="0"/>
        <v>0</v>
      </c>
      <c r="G20" s="39">
        <f>+[2]สรุป!$N$27</f>
        <v>0</v>
      </c>
      <c r="H20" s="39">
        <f t="shared" si="0"/>
        <v>0</v>
      </c>
      <c r="I20" s="39">
        <f>+[2]สรุป!$O$27</f>
        <v>0</v>
      </c>
      <c r="J20" s="39">
        <f t="shared" ref="J20" si="23">+I20*100/$D20</f>
        <v>0</v>
      </c>
      <c r="K20" s="39">
        <f>+[2]สรุป!$P$27</f>
        <v>114610</v>
      </c>
      <c r="L20" s="39">
        <f t="shared" ref="L20" si="24">+K20*100/$D20</f>
        <v>47.181112734907273</v>
      </c>
      <c r="M20" s="39">
        <f t="shared" si="3"/>
        <v>114610</v>
      </c>
      <c r="N20" s="39">
        <f t="shared" ref="N20" si="25">+M20*100/$D20</f>
        <v>47.181112734907273</v>
      </c>
      <c r="O20" s="39">
        <f>+$D$20-$M$20</f>
        <v>128305</v>
      </c>
      <c r="P20" s="39">
        <f t="shared" ref="P20" si="26">+O20*100/$D20</f>
        <v>52.818887265092727</v>
      </c>
      <c r="Q20" s="39">
        <f>+$C$20-$M$20</f>
        <v>509390</v>
      </c>
      <c r="R20" s="39">
        <f t="shared" si="6"/>
        <v>81.633012820512818</v>
      </c>
    </row>
    <row r="21" spans="1:18">
      <c r="A21" s="40"/>
      <c r="B21" s="5" t="s">
        <v>125</v>
      </c>
      <c r="C21" s="39">
        <f>+[2]สรุป!$K$28</f>
        <v>891000</v>
      </c>
      <c r="D21" s="39">
        <f>+[2]สรุป!$L$28</f>
        <v>0</v>
      </c>
      <c r="E21" s="39">
        <f>+[2]สรุป!$M$28</f>
        <v>0</v>
      </c>
      <c r="F21" s="39">
        <v>0</v>
      </c>
      <c r="G21" s="39">
        <f>+[2]สรุป!$N$28</f>
        <v>0</v>
      </c>
      <c r="H21" s="39">
        <v>0</v>
      </c>
      <c r="I21" s="39">
        <f>+[2]สรุป!$O$28</f>
        <v>0</v>
      </c>
      <c r="J21" s="39">
        <v>0</v>
      </c>
      <c r="K21" s="39">
        <f>+[2]สรุป!$P$28</f>
        <v>0</v>
      </c>
      <c r="L21" s="39">
        <v>0</v>
      </c>
      <c r="M21" s="39">
        <f t="shared" si="3"/>
        <v>0</v>
      </c>
      <c r="N21" s="39">
        <v>0</v>
      </c>
      <c r="O21" s="39">
        <f>+$D$21-$M$21</f>
        <v>0</v>
      </c>
      <c r="P21" s="39">
        <v>0</v>
      </c>
      <c r="Q21" s="39">
        <f>+$C$21-$M$21</f>
        <v>891000</v>
      </c>
      <c r="R21" s="39">
        <f t="shared" si="6"/>
        <v>100</v>
      </c>
    </row>
    <row r="22" spans="1:18">
      <c r="A22" s="41"/>
      <c r="B22" s="41" t="s">
        <v>126</v>
      </c>
      <c r="C22" s="39">
        <f>+[2]สรุป!$K$29</f>
        <v>295200</v>
      </c>
      <c r="D22" s="39">
        <f>+[2]สรุป!$L$29</f>
        <v>295200</v>
      </c>
      <c r="E22" s="39">
        <f>+[2]สรุป!$M$29</f>
        <v>0</v>
      </c>
      <c r="F22" s="39">
        <f t="shared" si="0"/>
        <v>0</v>
      </c>
      <c r="G22" s="39">
        <f>+[2]สรุป!$N$29</f>
        <v>0</v>
      </c>
      <c r="H22" s="39">
        <f t="shared" si="0"/>
        <v>0</v>
      </c>
      <c r="I22" s="39">
        <f>+[2]สรุป!$O$29</f>
        <v>0</v>
      </c>
      <c r="J22" s="39">
        <f t="shared" ref="J22" si="27">+I22*100/$D22</f>
        <v>0</v>
      </c>
      <c r="K22" s="39">
        <f>+[2]สรุป!$P$29</f>
        <v>49200</v>
      </c>
      <c r="L22" s="39">
        <f t="shared" ref="L22" si="28">+K22*100/$D22</f>
        <v>16.666666666666668</v>
      </c>
      <c r="M22" s="39">
        <f t="shared" si="3"/>
        <v>49200</v>
      </c>
      <c r="N22" s="39">
        <f t="shared" ref="N22" si="29">+M22*100/$D22</f>
        <v>16.666666666666668</v>
      </c>
      <c r="O22" s="39">
        <f>+$D$22-$M$22</f>
        <v>246000</v>
      </c>
      <c r="P22" s="39">
        <f t="shared" ref="P22" si="30">+O22*100/$D22</f>
        <v>83.333333333333329</v>
      </c>
      <c r="Q22" s="39">
        <f>+$C$22-$M$22</f>
        <v>246000</v>
      </c>
      <c r="R22" s="39">
        <f t="shared" si="6"/>
        <v>83.333333333333329</v>
      </c>
    </row>
    <row r="23" spans="1:18" hidden="1">
      <c r="A23" s="41"/>
      <c r="B23" s="41" t="s">
        <v>117</v>
      </c>
      <c r="C23" s="39">
        <f>+[2]สรุป!$K$30</f>
        <v>0</v>
      </c>
      <c r="D23" s="39">
        <f>+[2]สรุป!$L$30</f>
        <v>0</v>
      </c>
      <c r="E23" s="39">
        <f>+[2]สรุป!$M$30</f>
        <v>0</v>
      </c>
      <c r="F23" s="39" t="e">
        <f t="shared" si="0"/>
        <v>#DIV/0!</v>
      </c>
      <c r="G23" s="39">
        <f>+[2]สรุป!$N$30</f>
        <v>0</v>
      </c>
      <c r="H23" s="39" t="e">
        <f t="shared" si="0"/>
        <v>#DIV/0!</v>
      </c>
      <c r="I23" s="39">
        <f>+[2]สรุป!$O$30</f>
        <v>0</v>
      </c>
      <c r="J23" s="39" t="e">
        <f t="shared" ref="J23" si="31">+I23*100/$D23</f>
        <v>#DIV/0!</v>
      </c>
      <c r="K23" s="39">
        <f>+[2]สรุป!$P$30</f>
        <v>0</v>
      </c>
      <c r="L23" s="39" t="e">
        <f t="shared" ref="L23" si="32">+K23*100/$D23</f>
        <v>#DIV/0!</v>
      </c>
      <c r="M23" s="39">
        <f t="shared" si="3"/>
        <v>0</v>
      </c>
      <c r="N23" s="39" t="e">
        <f t="shared" ref="N23" si="33">+M23*100/$D23</f>
        <v>#DIV/0!</v>
      </c>
      <c r="O23" s="39">
        <f>+$D$23-$M$23</f>
        <v>0</v>
      </c>
      <c r="P23" s="39" t="e">
        <f t="shared" ref="P23" si="34">+O23*100/$D23</f>
        <v>#DIV/0!</v>
      </c>
      <c r="Q23" s="39">
        <f>+$C$23-$M$23</f>
        <v>0</v>
      </c>
      <c r="R23" s="39" t="e">
        <f t="shared" si="6"/>
        <v>#DIV/0!</v>
      </c>
    </row>
    <row r="24" spans="1:18" s="37" customFormat="1" ht="21.75" thickBot="1">
      <c r="A24" s="1006" t="s">
        <v>11</v>
      </c>
      <c r="B24" s="1007"/>
      <c r="C24" s="43">
        <f>+C11+C10+C12+C13+C14+C15</f>
        <v>6228660</v>
      </c>
      <c r="D24" s="43">
        <f>+D11+D10+D12+D13+D14+D15</f>
        <v>3030210</v>
      </c>
      <c r="E24" s="43">
        <f>+E11+E10+E12+E13+E14+E15</f>
        <v>0</v>
      </c>
      <c r="F24" s="43">
        <f t="shared" si="0"/>
        <v>0</v>
      </c>
      <c r="G24" s="43">
        <f>+G11+G10+G12+G13+G14+G15</f>
        <v>3885</v>
      </c>
      <c r="H24" s="43">
        <f t="shared" si="0"/>
        <v>0.12820893601433564</v>
      </c>
      <c r="I24" s="43">
        <f>+I11+I10+I12+I13+I14+I15</f>
        <v>199648</v>
      </c>
      <c r="J24" s="43">
        <f t="shared" si="0"/>
        <v>6.5885862695984763</v>
      </c>
      <c r="K24" s="43">
        <f>+K11+K10+K12+K13+K14+K15</f>
        <v>1249987.27</v>
      </c>
      <c r="L24" s="43">
        <f t="shared" si="0"/>
        <v>41.25084631098175</v>
      </c>
      <c r="M24" s="43">
        <f>+M11+M10+M12+M13+M14+M15</f>
        <v>1453520.27</v>
      </c>
      <c r="N24" s="43">
        <f t="shared" si="0"/>
        <v>47.967641516594561</v>
      </c>
      <c r="O24" s="43">
        <f>+O11+O10+O12+O13+O14+O15</f>
        <v>1576689.73</v>
      </c>
      <c r="P24" s="43">
        <f t="shared" si="0"/>
        <v>52.032358483405439</v>
      </c>
      <c r="Q24" s="43">
        <f>+Q11+Q10+Q12+Q13+Q14+Q15</f>
        <v>4775139.7300000004</v>
      </c>
      <c r="R24" s="43">
        <f t="shared" si="6"/>
        <v>76.663997232149455</v>
      </c>
    </row>
    <row r="25" spans="1:18" ht="21.75" thickTop="1"/>
  </sheetData>
  <mergeCells count="18">
    <mergeCell ref="B8:B9"/>
    <mergeCell ref="C8:C9"/>
    <mergeCell ref="D8:D9"/>
    <mergeCell ref="E8:F8"/>
    <mergeCell ref="A24:B24"/>
    <mergeCell ref="Q8:R8"/>
    <mergeCell ref="A1:R1"/>
    <mergeCell ref="A2:R2"/>
    <mergeCell ref="A3:R3"/>
    <mergeCell ref="A4:R4"/>
    <mergeCell ref="A5:R5"/>
    <mergeCell ref="A6:R6"/>
    <mergeCell ref="G8:H8"/>
    <mergeCell ref="I8:J8"/>
    <mergeCell ref="K8:L8"/>
    <mergeCell ref="M8:N8"/>
    <mergeCell ref="O8:P8"/>
    <mergeCell ref="A8:A9"/>
  </mergeCells>
  <pageMargins left="0.17" right="0.17" top="0.43" bottom="0.74803149606299213" header="0.31496062992125984" footer="0.31496062992125984"/>
  <pageSetup paperSize="9" scale="65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169"/>
  <sheetViews>
    <sheetView topLeftCell="A55" workbookViewId="0">
      <selection activeCell="N66" sqref="N66"/>
    </sheetView>
  </sheetViews>
  <sheetFormatPr defaultRowHeight="15.75" outlineLevelRow="2"/>
  <cols>
    <col min="1" max="1" width="5.25" style="723" customWidth="1"/>
    <col min="2" max="2" width="4.875" style="724" customWidth="1"/>
    <col min="3" max="3" width="29.5" style="725" customWidth="1"/>
    <col min="4" max="4" width="11" style="725" hidden="1" customWidth="1"/>
    <col min="5" max="5" width="10.75" style="728" hidden="1" customWidth="1"/>
    <col min="6" max="6" width="11" style="727" hidden="1" customWidth="1"/>
    <col min="7" max="10" width="11.5" style="728" customWidth="1"/>
    <col min="11" max="11" width="7.125" style="723" customWidth="1"/>
    <col min="12" max="12" width="17.125" style="581" hidden="1" customWidth="1"/>
    <col min="13" max="13" width="11.75" style="581" customWidth="1"/>
    <col min="14" max="14" width="10.75" style="581" customWidth="1"/>
    <col min="15" max="256" width="9" style="581"/>
    <col min="257" max="257" width="5.25" style="581" customWidth="1"/>
    <col min="258" max="258" width="4.875" style="581" customWidth="1"/>
    <col min="259" max="259" width="29.5" style="581" customWidth="1"/>
    <col min="260" max="262" width="0" style="581" hidden="1" customWidth="1"/>
    <col min="263" max="266" width="11.5" style="581" customWidth="1"/>
    <col min="267" max="267" width="7.125" style="581" customWidth="1"/>
    <col min="268" max="268" width="0" style="581" hidden="1" customWidth="1"/>
    <col min="269" max="269" width="11.75" style="581" customWidth="1"/>
    <col min="270" max="270" width="10.75" style="581" customWidth="1"/>
    <col min="271" max="512" width="9" style="581"/>
    <col min="513" max="513" width="5.25" style="581" customWidth="1"/>
    <col min="514" max="514" width="4.875" style="581" customWidth="1"/>
    <col min="515" max="515" width="29.5" style="581" customWidth="1"/>
    <col min="516" max="518" width="0" style="581" hidden="1" customWidth="1"/>
    <col min="519" max="522" width="11.5" style="581" customWidth="1"/>
    <col min="523" max="523" width="7.125" style="581" customWidth="1"/>
    <col min="524" max="524" width="0" style="581" hidden="1" customWidth="1"/>
    <col min="525" max="525" width="11.75" style="581" customWidth="1"/>
    <col min="526" max="526" width="10.75" style="581" customWidth="1"/>
    <col min="527" max="768" width="9" style="581"/>
    <col min="769" max="769" width="5.25" style="581" customWidth="1"/>
    <col min="770" max="770" width="4.875" style="581" customWidth="1"/>
    <col min="771" max="771" width="29.5" style="581" customWidth="1"/>
    <col min="772" max="774" width="0" style="581" hidden="1" customWidth="1"/>
    <col min="775" max="778" width="11.5" style="581" customWidth="1"/>
    <col min="779" max="779" width="7.125" style="581" customWidth="1"/>
    <col min="780" max="780" width="0" style="581" hidden="1" customWidth="1"/>
    <col min="781" max="781" width="11.75" style="581" customWidth="1"/>
    <col min="782" max="782" width="10.75" style="581" customWidth="1"/>
    <col min="783" max="1024" width="9" style="581"/>
    <col min="1025" max="1025" width="5.25" style="581" customWidth="1"/>
    <col min="1026" max="1026" width="4.875" style="581" customWidth="1"/>
    <col min="1027" max="1027" width="29.5" style="581" customWidth="1"/>
    <col min="1028" max="1030" width="0" style="581" hidden="1" customWidth="1"/>
    <col min="1031" max="1034" width="11.5" style="581" customWidth="1"/>
    <col min="1035" max="1035" width="7.125" style="581" customWidth="1"/>
    <col min="1036" max="1036" width="0" style="581" hidden="1" customWidth="1"/>
    <col min="1037" max="1037" width="11.75" style="581" customWidth="1"/>
    <col min="1038" max="1038" width="10.75" style="581" customWidth="1"/>
    <col min="1039" max="1280" width="9" style="581"/>
    <col min="1281" max="1281" width="5.25" style="581" customWidth="1"/>
    <col min="1282" max="1282" width="4.875" style="581" customWidth="1"/>
    <col min="1283" max="1283" width="29.5" style="581" customWidth="1"/>
    <col min="1284" max="1286" width="0" style="581" hidden="1" customWidth="1"/>
    <col min="1287" max="1290" width="11.5" style="581" customWidth="1"/>
    <col min="1291" max="1291" width="7.125" style="581" customWidth="1"/>
    <col min="1292" max="1292" width="0" style="581" hidden="1" customWidth="1"/>
    <col min="1293" max="1293" width="11.75" style="581" customWidth="1"/>
    <col min="1294" max="1294" width="10.75" style="581" customWidth="1"/>
    <col min="1295" max="1536" width="9" style="581"/>
    <col min="1537" max="1537" width="5.25" style="581" customWidth="1"/>
    <col min="1538" max="1538" width="4.875" style="581" customWidth="1"/>
    <col min="1539" max="1539" width="29.5" style="581" customWidth="1"/>
    <col min="1540" max="1542" width="0" style="581" hidden="1" customWidth="1"/>
    <col min="1543" max="1546" width="11.5" style="581" customWidth="1"/>
    <col min="1547" max="1547" width="7.125" style="581" customWidth="1"/>
    <col min="1548" max="1548" width="0" style="581" hidden="1" customWidth="1"/>
    <col min="1549" max="1549" width="11.75" style="581" customWidth="1"/>
    <col min="1550" max="1550" width="10.75" style="581" customWidth="1"/>
    <col min="1551" max="1792" width="9" style="581"/>
    <col min="1793" max="1793" width="5.25" style="581" customWidth="1"/>
    <col min="1794" max="1794" width="4.875" style="581" customWidth="1"/>
    <col min="1795" max="1795" width="29.5" style="581" customWidth="1"/>
    <col min="1796" max="1798" width="0" style="581" hidden="1" customWidth="1"/>
    <col min="1799" max="1802" width="11.5" style="581" customWidth="1"/>
    <col min="1803" max="1803" width="7.125" style="581" customWidth="1"/>
    <col min="1804" max="1804" width="0" style="581" hidden="1" customWidth="1"/>
    <col min="1805" max="1805" width="11.75" style="581" customWidth="1"/>
    <col min="1806" max="1806" width="10.75" style="581" customWidth="1"/>
    <col min="1807" max="2048" width="9" style="581"/>
    <col min="2049" max="2049" width="5.25" style="581" customWidth="1"/>
    <col min="2050" max="2050" width="4.875" style="581" customWidth="1"/>
    <col min="2051" max="2051" width="29.5" style="581" customWidth="1"/>
    <col min="2052" max="2054" width="0" style="581" hidden="1" customWidth="1"/>
    <col min="2055" max="2058" width="11.5" style="581" customWidth="1"/>
    <col min="2059" max="2059" width="7.125" style="581" customWidth="1"/>
    <col min="2060" max="2060" width="0" style="581" hidden="1" customWidth="1"/>
    <col min="2061" max="2061" width="11.75" style="581" customWidth="1"/>
    <col min="2062" max="2062" width="10.75" style="581" customWidth="1"/>
    <col min="2063" max="2304" width="9" style="581"/>
    <col min="2305" max="2305" width="5.25" style="581" customWidth="1"/>
    <col min="2306" max="2306" width="4.875" style="581" customWidth="1"/>
    <col min="2307" max="2307" width="29.5" style="581" customWidth="1"/>
    <col min="2308" max="2310" width="0" style="581" hidden="1" customWidth="1"/>
    <col min="2311" max="2314" width="11.5" style="581" customWidth="1"/>
    <col min="2315" max="2315" width="7.125" style="581" customWidth="1"/>
    <col min="2316" max="2316" width="0" style="581" hidden="1" customWidth="1"/>
    <col min="2317" max="2317" width="11.75" style="581" customWidth="1"/>
    <col min="2318" max="2318" width="10.75" style="581" customWidth="1"/>
    <col min="2319" max="2560" width="9" style="581"/>
    <col min="2561" max="2561" width="5.25" style="581" customWidth="1"/>
    <col min="2562" max="2562" width="4.875" style="581" customWidth="1"/>
    <col min="2563" max="2563" width="29.5" style="581" customWidth="1"/>
    <col min="2564" max="2566" width="0" style="581" hidden="1" customWidth="1"/>
    <col min="2567" max="2570" width="11.5" style="581" customWidth="1"/>
    <col min="2571" max="2571" width="7.125" style="581" customWidth="1"/>
    <col min="2572" max="2572" width="0" style="581" hidden="1" customWidth="1"/>
    <col min="2573" max="2573" width="11.75" style="581" customWidth="1"/>
    <col min="2574" max="2574" width="10.75" style="581" customWidth="1"/>
    <col min="2575" max="2816" width="9" style="581"/>
    <col min="2817" max="2817" width="5.25" style="581" customWidth="1"/>
    <col min="2818" max="2818" width="4.875" style="581" customWidth="1"/>
    <col min="2819" max="2819" width="29.5" style="581" customWidth="1"/>
    <col min="2820" max="2822" width="0" style="581" hidden="1" customWidth="1"/>
    <col min="2823" max="2826" width="11.5" style="581" customWidth="1"/>
    <col min="2827" max="2827" width="7.125" style="581" customWidth="1"/>
    <col min="2828" max="2828" width="0" style="581" hidden="1" customWidth="1"/>
    <col min="2829" max="2829" width="11.75" style="581" customWidth="1"/>
    <col min="2830" max="2830" width="10.75" style="581" customWidth="1"/>
    <col min="2831" max="3072" width="9" style="581"/>
    <col min="3073" max="3073" width="5.25" style="581" customWidth="1"/>
    <col min="3074" max="3074" width="4.875" style="581" customWidth="1"/>
    <col min="3075" max="3075" width="29.5" style="581" customWidth="1"/>
    <col min="3076" max="3078" width="0" style="581" hidden="1" customWidth="1"/>
    <col min="3079" max="3082" width="11.5" style="581" customWidth="1"/>
    <col min="3083" max="3083" width="7.125" style="581" customWidth="1"/>
    <col min="3084" max="3084" width="0" style="581" hidden="1" customWidth="1"/>
    <col min="3085" max="3085" width="11.75" style="581" customWidth="1"/>
    <col min="3086" max="3086" width="10.75" style="581" customWidth="1"/>
    <col min="3087" max="3328" width="9" style="581"/>
    <col min="3329" max="3329" width="5.25" style="581" customWidth="1"/>
    <col min="3330" max="3330" width="4.875" style="581" customWidth="1"/>
    <col min="3331" max="3331" width="29.5" style="581" customWidth="1"/>
    <col min="3332" max="3334" width="0" style="581" hidden="1" customWidth="1"/>
    <col min="3335" max="3338" width="11.5" style="581" customWidth="1"/>
    <col min="3339" max="3339" width="7.125" style="581" customWidth="1"/>
    <col min="3340" max="3340" width="0" style="581" hidden="1" customWidth="1"/>
    <col min="3341" max="3341" width="11.75" style="581" customWidth="1"/>
    <col min="3342" max="3342" width="10.75" style="581" customWidth="1"/>
    <col min="3343" max="3584" width="9" style="581"/>
    <col min="3585" max="3585" width="5.25" style="581" customWidth="1"/>
    <col min="3586" max="3586" width="4.875" style="581" customWidth="1"/>
    <col min="3587" max="3587" width="29.5" style="581" customWidth="1"/>
    <col min="3588" max="3590" width="0" style="581" hidden="1" customWidth="1"/>
    <col min="3591" max="3594" width="11.5" style="581" customWidth="1"/>
    <col min="3595" max="3595" width="7.125" style="581" customWidth="1"/>
    <col min="3596" max="3596" width="0" style="581" hidden="1" customWidth="1"/>
    <col min="3597" max="3597" width="11.75" style="581" customWidth="1"/>
    <col min="3598" max="3598" width="10.75" style="581" customWidth="1"/>
    <col min="3599" max="3840" width="9" style="581"/>
    <col min="3841" max="3841" width="5.25" style="581" customWidth="1"/>
    <col min="3842" max="3842" width="4.875" style="581" customWidth="1"/>
    <col min="3843" max="3843" width="29.5" style="581" customWidth="1"/>
    <col min="3844" max="3846" width="0" style="581" hidden="1" customWidth="1"/>
    <col min="3847" max="3850" width="11.5" style="581" customWidth="1"/>
    <col min="3851" max="3851" width="7.125" style="581" customWidth="1"/>
    <col min="3852" max="3852" width="0" style="581" hidden="1" customWidth="1"/>
    <col min="3853" max="3853" width="11.75" style="581" customWidth="1"/>
    <col min="3854" max="3854" width="10.75" style="581" customWidth="1"/>
    <col min="3855" max="4096" width="9" style="581"/>
    <col min="4097" max="4097" width="5.25" style="581" customWidth="1"/>
    <col min="4098" max="4098" width="4.875" style="581" customWidth="1"/>
    <col min="4099" max="4099" width="29.5" style="581" customWidth="1"/>
    <col min="4100" max="4102" width="0" style="581" hidden="1" customWidth="1"/>
    <col min="4103" max="4106" width="11.5" style="581" customWidth="1"/>
    <col min="4107" max="4107" width="7.125" style="581" customWidth="1"/>
    <col min="4108" max="4108" width="0" style="581" hidden="1" customWidth="1"/>
    <col min="4109" max="4109" width="11.75" style="581" customWidth="1"/>
    <col min="4110" max="4110" width="10.75" style="581" customWidth="1"/>
    <col min="4111" max="4352" width="9" style="581"/>
    <col min="4353" max="4353" width="5.25" style="581" customWidth="1"/>
    <col min="4354" max="4354" width="4.875" style="581" customWidth="1"/>
    <col min="4355" max="4355" width="29.5" style="581" customWidth="1"/>
    <col min="4356" max="4358" width="0" style="581" hidden="1" customWidth="1"/>
    <col min="4359" max="4362" width="11.5" style="581" customWidth="1"/>
    <col min="4363" max="4363" width="7.125" style="581" customWidth="1"/>
    <col min="4364" max="4364" width="0" style="581" hidden="1" customWidth="1"/>
    <col min="4365" max="4365" width="11.75" style="581" customWidth="1"/>
    <col min="4366" max="4366" width="10.75" style="581" customWidth="1"/>
    <col min="4367" max="4608" width="9" style="581"/>
    <col min="4609" max="4609" width="5.25" style="581" customWidth="1"/>
    <col min="4610" max="4610" width="4.875" style="581" customWidth="1"/>
    <col min="4611" max="4611" width="29.5" style="581" customWidth="1"/>
    <col min="4612" max="4614" width="0" style="581" hidden="1" customWidth="1"/>
    <col min="4615" max="4618" width="11.5" style="581" customWidth="1"/>
    <col min="4619" max="4619" width="7.125" style="581" customWidth="1"/>
    <col min="4620" max="4620" width="0" style="581" hidden="1" customWidth="1"/>
    <col min="4621" max="4621" width="11.75" style="581" customWidth="1"/>
    <col min="4622" max="4622" width="10.75" style="581" customWidth="1"/>
    <col min="4623" max="4864" width="9" style="581"/>
    <col min="4865" max="4865" width="5.25" style="581" customWidth="1"/>
    <col min="4866" max="4866" width="4.875" style="581" customWidth="1"/>
    <col min="4867" max="4867" width="29.5" style="581" customWidth="1"/>
    <col min="4868" max="4870" width="0" style="581" hidden="1" customWidth="1"/>
    <col min="4871" max="4874" width="11.5" style="581" customWidth="1"/>
    <col min="4875" max="4875" width="7.125" style="581" customWidth="1"/>
    <col min="4876" max="4876" width="0" style="581" hidden="1" customWidth="1"/>
    <col min="4877" max="4877" width="11.75" style="581" customWidth="1"/>
    <col min="4878" max="4878" width="10.75" style="581" customWidth="1"/>
    <col min="4879" max="5120" width="9" style="581"/>
    <col min="5121" max="5121" width="5.25" style="581" customWidth="1"/>
    <col min="5122" max="5122" width="4.875" style="581" customWidth="1"/>
    <col min="5123" max="5123" width="29.5" style="581" customWidth="1"/>
    <col min="5124" max="5126" width="0" style="581" hidden="1" customWidth="1"/>
    <col min="5127" max="5130" width="11.5" style="581" customWidth="1"/>
    <col min="5131" max="5131" width="7.125" style="581" customWidth="1"/>
    <col min="5132" max="5132" width="0" style="581" hidden="1" customWidth="1"/>
    <col min="5133" max="5133" width="11.75" style="581" customWidth="1"/>
    <col min="5134" max="5134" width="10.75" style="581" customWidth="1"/>
    <col min="5135" max="5376" width="9" style="581"/>
    <col min="5377" max="5377" width="5.25" style="581" customWidth="1"/>
    <col min="5378" max="5378" width="4.875" style="581" customWidth="1"/>
    <col min="5379" max="5379" width="29.5" style="581" customWidth="1"/>
    <col min="5380" max="5382" width="0" style="581" hidden="1" customWidth="1"/>
    <col min="5383" max="5386" width="11.5" style="581" customWidth="1"/>
    <col min="5387" max="5387" width="7.125" style="581" customWidth="1"/>
    <col min="5388" max="5388" width="0" style="581" hidden="1" customWidth="1"/>
    <col min="5389" max="5389" width="11.75" style="581" customWidth="1"/>
    <col min="5390" max="5390" width="10.75" style="581" customWidth="1"/>
    <col min="5391" max="5632" width="9" style="581"/>
    <col min="5633" max="5633" width="5.25" style="581" customWidth="1"/>
    <col min="5634" max="5634" width="4.875" style="581" customWidth="1"/>
    <col min="5635" max="5635" width="29.5" style="581" customWidth="1"/>
    <col min="5636" max="5638" width="0" style="581" hidden="1" customWidth="1"/>
    <col min="5639" max="5642" width="11.5" style="581" customWidth="1"/>
    <col min="5643" max="5643" width="7.125" style="581" customWidth="1"/>
    <col min="5644" max="5644" width="0" style="581" hidden="1" customWidth="1"/>
    <col min="5645" max="5645" width="11.75" style="581" customWidth="1"/>
    <col min="5646" max="5646" width="10.75" style="581" customWidth="1"/>
    <col min="5647" max="5888" width="9" style="581"/>
    <col min="5889" max="5889" width="5.25" style="581" customWidth="1"/>
    <col min="5890" max="5890" width="4.875" style="581" customWidth="1"/>
    <col min="5891" max="5891" width="29.5" style="581" customWidth="1"/>
    <col min="5892" max="5894" width="0" style="581" hidden="1" customWidth="1"/>
    <col min="5895" max="5898" width="11.5" style="581" customWidth="1"/>
    <col min="5899" max="5899" width="7.125" style="581" customWidth="1"/>
    <col min="5900" max="5900" width="0" style="581" hidden="1" customWidth="1"/>
    <col min="5901" max="5901" width="11.75" style="581" customWidth="1"/>
    <col min="5902" max="5902" width="10.75" style="581" customWidth="1"/>
    <col min="5903" max="6144" width="9" style="581"/>
    <col min="6145" max="6145" width="5.25" style="581" customWidth="1"/>
    <col min="6146" max="6146" width="4.875" style="581" customWidth="1"/>
    <col min="6147" max="6147" width="29.5" style="581" customWidth="1"/>
    <col min="6148" max="6150" width="0" style="581" hidden="1" customWidth="1"/>
    <col min="6151" max="6154" width="11.5" style="581" customWidth="1"/>
    <col min="6155" max="6155" width="7.125" style="581" customWidth="1"/>
    <col min="6156" max="6156" width="0" style="581" hidden="1" customWidth="1"/>
    <col min="6157" max="6157" width="11.75" style="581" customWidth="1"/>
    <col min="6158" max="6158" width="10.75" style="581" customWidth="1"/>
    <col min="6159" max="6400" width="9" style="581"/>
    <col min="6401" max="6401" width="5.25" style="581" customWidth="1"/>
    <col min="6402" max="6402" width="4.875" style="581" customWidth="1"/>
    <col min="6403" max="6403" width="29.5" style="581" customWidth="1"/>
    <col min="6404" max="6406" width="0" style="581" hidden="1" customWidth="1"/>
    <col min="6407" max="6410" width="11.5" style="581" customWidth="1"/>
    <col min="6411" max="6411" width="7.125" style="581" customWidth="1"/>
    <col min="6412" max="6412" width="0" style="581" hidden="1" customWidth="1"/>
    <col min="6413" max="6413" width="11.75" style="581" customWidth="1"/>
    <col min="6414" max="6414" width="10.75" style="581" customWidth="1"/>
    <col min="6415" max="6656" width="9" style="581"/>
    <col min="6657" max="6657" width="5.25" style="581" customWidth="1"/>
    <col min="6658" max="6658" width="4.875" style="581" customWidth="1"/>
    <col min="6659" max="6659" width="29.5" style="581" customWidth="1"/>
    <col min="6660" max="6662" width="0" style="581" hidden="1" customWidth="1"/>
    <col min="6663" max="6666" width="11.5" style="581" customWidth="1"/>
    <col min="6667" max="6667" width="7.125" style="581" customWidth="1"/>
    <col min="6668" max="6668" width="0" style="581" hidden="1" customWidth="1"/>
    <col min="6669" max="6669" width="11.75" style="581" customWidth="1"/>
    <col min="6670" max="6670" width="10.75" style="581" customWidth="1"/>
    <col min="6671" max="6912" width="9" style="581"/>
    <col min="6913" max="6913" width="5.25" style="581" customWidth="1"/>
    <col min="6914" max="6914" width="4.875" style="581" customWidth="1"/>
    <col min="6915" max="6915" width="29.5" style="581" customWidth="1"/>
    <col min="6916" max="6918" width="0" style="581" hidden="1" customWidth="1"/>
    <col min="6919" max="6922" width="11.5" style="581" customWidth="1"/>
    <col min="6923" max="6923" width="7.125" style="581" customWidth="1"/>
    <col min="6924" max="6924" width="0" style="581" hidden="1" customWidth="1"/>
    <col min="6925" max="6925" width="11.75" style="581" customWidth="1"/>
    <col min="6926" max="6926" width="10.75" style="581" customWidth="1"/>
    <col min="6927" max="7168" width="9" style="581"/>
    <col min="7169" max="7169" width="5.25" style="581" customWidth="1"/>
    <col min="7170" max="7170" width="4.875" style="581" customWidth="1"/>
    <col min="7171" max="7171" width="29.5" style="581" customWidth="1"/>
    <col min="7172" max="7174" width="0" style="581" hidden="1" customWidth="1"/>
    <col min="7175" max="7178" width="11.5" style="581" customWidth="1"/>
    <col min="7179" max="7179" width="7.125" style="581" customWidth="1"/>
    <col min="7180" max="7180" width="0" style="581" hidden="1" customWidth="1"/>
    <col min="7181" max="7181" width="11.75" style="581" customWidth="1"/>
    <col min="7182" max="7182" width="10.75" style="581" customWidth="1"/>
    <col min="7183" max="7424" width="9" style="581"/>
    <col min="7425" max="7425" width="5.25" style="581" customWidth="1"/>
    <col min="7426" max="7426" width="4.875" style="581" customWidth="1"/>
    <col min="7427" max="7427" width="29.5" style="581" customWidth="1"/>
    <col min="7428" max="7430" width="0" style="581" hidden="1" customWidth="1"/>
    <col min="7431" max="7434" width="11.5" style="581" customWidth="1"/>
    <col min="7435" max="7435" width="7.125" style="581" customWidth="1"/>
    <col min="7436" max="7436" width="0" style="581" hidden="1" customWidth="1"/>
    <col min="7437" max="7437" width="11.75" style="581" customWidth="1"/>
    <col min="7438" max="7438" width="10.75" style="581" customWidth="1"/>
    <col min="7439" max="7680" width="9" style="581"/>
    <col min="7681" max="7681" width="5.25" style="581" customWidth="1"/>
    <col min="7682" max="7682" width="4.875" style="581" customWidth="1"/>
    <col min="7683" max="7683" width="29.5" style="581" customWidth="1"/>
    <col min="7684" max="7686" width="0" style="581" hidden="1" customWidth="1"/>
    <col min="7687" max="7690" width="11.5" style="581" customWidth="1"/>
    <col min="7691" max="7691" width="7.125" style="581" customWidth="1"/>
    <col min="7692" max="7692" width="0" style="581" hidden="1" customWidth="1"/>
    <col min="7693" max="7693" width="11.75" style="581" customWidth="1"/>
    <col min="7694" max="7694" width="10.75" style="581" customWidth="1"/>
    <col min="7695" max="7936" width="9" style="581"/>
    <col min="7937" max="7937" width="5.25" style="581" customWidth="1"/>
    <col min="7938" max="7938" width="4.875" style="581" customWidth="1"/>
    <col min="7939" max="7939" width="29.5" style="581" customWidth="1"/>
    <col min="7940" max="7942" width="0" style="581" hidden="1" customWidth="1"/>
    <col min="7943" max="7946" width="11.5" style="581" customWidth="1"/>
    <col min="7947" max="7947" width="7.125" style="581" customWidth="1"/>
    <col min="7948" max="7948" width="0" style="581" hidden="1" customWidth="1"/>
    <col min="7949" max="7949" width="11.75" style="581" customWidth="1"/>
    <col min="7950" max="7950" width="10.75" style="581" customWidth="1"/>
    <col min="7951" max="8192" width="9" style="581"/>
    <col min="8193" max="8193" width="5.25" style="581" customWidth="1"/>
    <col min="8194" max="8194" width="4.875" style="581" customWidth="1"/>
    <col min="8195" max="8195" width="29.5" style="581" customWidth="1"/>
    <col min="8196" max="8198" width="0" style="581" hidden="1" customWidth="1"/>
    <col min="8199" max="8202" width="11.5" style="581" customWidth="1"/>
    <col min="8203" max="8203" width="7.125" style="581" customWidth="1"/>
    <col min="8204" max="8204" width="0" style="581" hidden="1" customWidth="1"/>
    <col min="8205" max="8205" width="11.75" style="581" customWidth="1"/>
    <col min="8206" max="8206" width="10.75" style="581" customWidth="1"/>
    <col min="8207" max="8448" width="9" style="581"/>
    <col min="8449" max="8449" width="5.25" style="581" customWidth="1"/>
    <col min="8450" max="8450" width="4.875" style="581" customWidth="1"/>
    <col min="8451" max="8451" width="29.5" style="581" customWidth="1"/>
    <col min="8452" max="8454" width="0" style="581" hidden="1" customWidth="1"/>
    <col min="8455" max="8458" width="11.5" style="581" customWidth="1"/>
    <col min="8459" max="8459" width="7.125" style="581" customWidth="1"/>
    <col min="8460" max="8460" width="0" style="581" hidden="1" customWidth="1"/>
    <col min="8461" max="8461" width="11.75" style="581" customWidth="1"/>
    <col min="8462" max="8462" width="10.75" style="581" customWidth="1"/>
    <col min="8463" max="8704" width="9" style="581"/>
    <col min="8705" max="8705" width="5.25" style="581" customWidth="1"/>
    <col min="8706" max="8706" width="4.875" style="581" customWidth="1"/>
    <col min="8707" max="8707" width="29.5" style="581" customWidth="1"/>
    <col min="8708" max="8710" width="0" style="581" hidden="1" customWidth="1"/>
    <col min="8711" max="8714" width="11.5" style="581" customWidth="1"/>
    <col min="8715" max="8715" width="7.125" style="581" customWidth="1"/>
    <col min="8716" max="8716" width="0" style="581" hidden="1" customWidth="1"/>
    <col min="8717" max="8717" width="11.75" style="581" customWidth="1"/>
    <col min="8718" max="8718" width="10.75" style="581" customWidth="1"/>
    <col min="8719" max="8960" width="9" style="581"/>
    <col min="8961" max="8961" width="5.25" style="581" customWidth="1"/>
    <col min="8962" max="8962" width="4.875" style="581" customWidth="1"/>
    <col min="8963" max="8963" width="29.5" style="581" customWidth="1"/>
    <col min="8964" max="8966" width="0" style="581" hidden="1" customWidth="1"/>
    <col min="8967" max="8970" width="11.5" style="581" customWidth="1"/>
    <col min="8971" max="8971" width="7.125" style="581" customWidth="1"/>
    <col min="8972" max="8972" width="0" style="581" hidden="1" customWidth="1"/>
    <col min="8973" max="8973" width="11.75" style="581" customWidth="1"/>
    <col min="8974" max="8974" width="10.75" style="581" customWidth="1"/>
    <col min="8975" max="9216" width="9" style="581"/>
    <col min="9217" max="9217" width="5.25" style="581" customWidth="1"/>
    <col min="9218" max="9218" width="4.875" style="581" customWidth="1"/>
    <col min="9219" max="9219" width="29.5" style="581" customWidth="1"/>
    <col min="9220" max="9222" width="0" style="581" hidden="1" customWidth="1"/>
    <col min="9223" max="9226" width="11.5" style="581" customWidth="1"/>
    <col min="9227" max="9227" width="7.125" style="581" customWidth="1"/>
    <col min="9228" max="9228" width="0" style="581" hidden="1" customWidth="1"/>
    <col min="9229" max="9229" width="11.75" style="581" customWidth="1"/>
    <col min="9230" max="9230" width="10.75" style="581" customWidth="1"/>
    <col min="9231" max="9472" width="9" style="581"/>
    <col min="9473" max="9473" width="5.25" style="581" customWidth="1"/>
    <col min="9474" max="9474" width="4.875" style="581" customWidth="1"/>
    <col min="9475" max="9475" width="29.5" style="581" customWidth="1"/>
    <col min="9476" max="9478" width="0" style="581" hidden="1" customWidth="1"/>
    <col min="9479" max="9482" width="11.5" style="581" customWidth="1"/>
    <col min="9483" max="9483" width="7.125" style="581" customWidth="1"/>
    <col min="9484" max="9484" width="0" style="581" hidden="1" customWidth="1"/>
    <col min="9485" max="9485" width="11.75" style="581" customWidth="1"/>
    <col min="9486" max="9486" width="10.75" style="581" customWidth="1"/>
    <col min="9487" max="9728" width="9" style="581"/>
    <col min="9729" max="9729" width="5.25" style="581" customWidth="1"/>
    <col min="9730" max="9730" width="4.875" style="581" customWidth="1"/>
    <col min="9731" max="9731" width="29.5" style="581" customWidth="1"/>
    <col min="9732" max="9734" width="0" style="581" hidden="1" customWidth="1"/>
    <col min="9735" max="9738" width="11.5" style="581" customWidth="1"/>
    <col min="9739" max="9739" width="7.125" style="581" customWidth="1"/>
    <col min="9740" max="9740" width="0" style="581" hidden="1" customWidth="1"/>
    <col min="9741" max="9741" width="11.75" style="581" customWidth="1"/>
    <col min="9742" max="9742" width="10.75" style="581" customWidth="1"/>
    <col min="9743" max="9984" width="9" style="581"/>
    <col min="9985" max="9985" width="5.25" style="581" customWidth="1"/>
    <col min="9986" max="9986" width="4.875" style="581" customWidth="1"/>
    <col min="9987" max="9987" width="29.5" style="581" customWidth="1"/>
    <col min="9988" max="9990" width="0" style="581" hidden="1" customWidth="1"/>
    <col min="9991" max="9994" width="11.5" style="581" customWidth="1"/>
    <col min="9995" max="9995" width="7.125" style="581" customWidth="1"/>
    <col min="9996" max="9996" width="0" style="581" hidden="1" customWidth="1"/>
    <col min="9997" max="9997" width="11.75" style="581" customWidth="1"/>
    <col min="9998" max="9998" width="10.75" style="581" customWidth="1"/>
    <col min="9999" max="10240" width="9" style="581"/>
    <col min="10241" max="10241" width="5.25" style="581" customWidth="1"/>
    <col min="10242" max="10242" width="4.875" style="581" customWidth="1"/>
    <col min="10243" max="10243" width="29.5" style="581" customWidth="1"/>
    <col min="10244" max="10246" width="0" style="581" hidden="1" customWidth="1"/>
    <col min="10247" max="10250" width="11.5" style="581" customWidth="1"/>
    <col min="10251" max="10251" width="7.125" style="581" customWidth="1"/>
    <col min="10252" max="10252" width="0" style="581" hidden="1" customWidth="1"/>
    <col min="10253" max="10253" width="11.75" style="581" customWidth="1"/>
    <col min="10254" max="10254" width="10.75" style="581" customWidth="1"/>
    <col min="10255" max="10496" width="9" style="581"/>
    <col min="10497" max="10497" width="5.25" style="581" customWidth="1"/>
    <col min="10498" max="10498" width="4.875" style="581" customWidth="1"/>
    <col min="10499" max="10499" width="29.5" style="581" customWidth="1"/>
    <col min="10500" max="10502" width="0" style="581" hidden="1" customWidth="1"/>
    <col min="10503" max="10506" width="11.5" style="581" customWidth="1"/>
    <col min="10507" max="10507" width="7.125" style="581" customWidth="1"/>
    <col min="10508" max="10508" width="0" style="581" hidden="1" customWidth="1"/>
    <col min="10509" max="10509" width="11.75" style="581" customWidth="1"/>
    <col min="10510" max="10510" width="10.75" style="581" customWidth="1"/>
    <col min="10511" max="10752" width="9" style="581"/>
    <col min="10753" max="10753" width="5.25" style="581" customWidth="1"/>
    <col min="10754" max="10754" width="4.875" style="581" customWidth="1"/>
    <col min="10755" max="10755" width="29.5" style="581" customWidth="1"/>
    <col min="10756" max="10758" width="0" style="581" hidden="1" customWidth="1"/>
    <col min="10759" max="10762" width="11.5" style="581" customWidth="1"/>
    <col min="10763" max="10763" width="7.125" style="581" customWidth="1"/>
    <col min="10764" max="10764" width="0" style="581" hidden="1" customWidth="1"/>
    <col min="10765" max="10765" width="11.75" style="581" customWidth="1"/>
    <col min="10766" max="10766" width="10.75" style="581" customWidth="1"/>
    <col min="10767" max="11008" width="9" style="581"/>
    <col min="11009" max="11009" width="5.25" style="581" customWidth="1"/>
    <col min="11010" max="11010" width="4.875" style="581" customWidth="1"/>
    <col min="11011" max="11011" width="29.5" style="581" customWidth="1"/>
    <col min="11012" max="11014" width="0" style="581" hidden="1" customWidth="1"/>
    <col min="11015" max="11018" width="11.5" style="581" customWidth="1"/>
    <col min="11019" max="11019" width="7.125" style="581" customWidth="1"/>
    <col min="11020" max="11020" width="0" style="581" hidden="1" customWidth="1"/>
    <col min="11021" max="11021" width="11.75" style="581" customWidth="1"/>
    <col min="11022" max="11022" width="10.75" style="581" customWidth="1"/>
    <col min="11023" max="11264" width="9" style="581"/>
    <col min="11265" max="11265" width="5.25" style="581" customWidth="1"/>
    <col min="11266" max="11266" width="4.875" style="581" customWidth="1"/>
    <col min="11267" max="11267" width="29.5" style="581" customWidth="1"/>
    <col min="11268" max="11270" width="0" style="581" hidden="1" customWidth="1"/>
    <col min="11271" max="11274" width="11.5" style="581" customWidth="1"/>
    <col min="11275" max="11275" width="7.125" style="581" customWidth="1"/>
    <col min="11276" max="11276" width="0" style="581" hidden="1" customWidth="1"/>
    <col min="11277" max="11277" width="11.75" style="581" customWidth="1"/>
    <col min="11278" max="11278" width="10.75" style="581" customWidth="1"/>
    <col min="11279" max="11520" width="9" style="581"/>
    <col min="11521" max="11521" width="5.25" style="581" customWidth="1"/>
    <col min="11522" max="11522" width="4.875" style="581" customWidth="1"/>
    <col min="11523" max="11523" width="29.5" style="581" customWidth="1"/>
    <col min="11524" max="11526" width="0" style="581" hidden="1" customWidth="1"/>
    <col min="11527" max="11530" width="11.5" style="581" customWidth="1"/>
    <col min="11531" max="11531" width="7.125" style="581" customWidth="1"/>
    <col min="11532" max="11532" width="0" style="581" hidden="1" customWidth="1"/>
    <col min="11533" max="11533" width="11.75" style="581" customWidth="1"/>
    <col min="11534" max="11534" width="10.75" style="581" customWidth="1"/>
    <col min="11535" max="11776" width="9" style="581"/>
    <col min="11777" max="11777" width="5.25" style="581" customWidth="1"/>
    <col min="11778" max="11778" width="4.875" style="581" customWidth="1"/>
    <col min="11779" max="11779" width="29.5" style="581" customWidth="1"/>
    <col min="11780" max="11782" width="0" style="581" hidden="1" customWidth="1"/>
    <col min="11783" max="11786" width="11.5" style="581" customWidth="1"/>
    <col min="11787" max="11787" width="7.125" style="581" customWidth="1"/>
    <col min="11788" max="11788" width="0" style="581" hidden="1" customWidth="1"/>
    <col min="11789" max="11789" width="11.75" style="581" customWidth="1"/>
    <col min="11790" max="11790" width="10.75" style="581" customWidth="1"/>
    <col min="11791" max="12032" width="9" style="581"/>
    <col min="12033" max="12033" width="5.25" style="581" customWidth="1"/>
    <col min="12034" max="12034" width="4.875" style="581" customWidth="1"/>
    <col min="12035" max="12035" width="29.5" style="581" customWidth="1"/>
    <col min="12036" max="12038" width="0" style="581" hidden="1" customWidth="1"/>
    <col min="12039" max="12042" width="11.5" style="581" customWidth="1"/>
    <col min="12043" max="12043" width="7.125" style="581" customWidth="1"/>
    <col min="12044" max="12044" width="0" style="581" hidden="1" customWidth="1"/>
    <col min="12045" max="12045" width="11.75" style="581" customWidth="1"/>
    <col min="12046" max="12046" width="10.75" style="581" customWidth="1"/>
    <col min="12047" max="12288" width="9" style="581"/>
    <col min="12289" max="12289" width="5.25" style="581" customWidth="1"/>
    <col min="12290" max="12290" width="4.875" style="581" customWidth="1"/>
    <col min="12291" max="12291" width="29.5" style="581" customWidth="1"/>
    <col min="12292" max="12294" width="0" style="581" hidden="1" customWidth="1"/>
    <col min="12295" max="12298" width="11.5" style="581" customWidth="1"/>
    <col min="12299" max="12299" width="7.125" style="581" customWidth="1"/>
    <col min="12300" max="12300" width="0" style="581" hidden="1" customWidth="1"/>
    <col min="12301" max="12301" width="11.75" style="581" customWidth="1"/>
    <col min="12302" max="12302" width="10.75" style="581" customWidth="1"/>
    <col min="12303" max="12544" width="9" style="581"/>
    <col min="12545" max="12545" width="5.25" style="581" customWidth="1"/>
    <col min="12546" max="12546" width="4.875" style="581" customWidth="1"/>
    <col min="12547" max="12547" width="29.5" style="581" customWidth="1"/>
    <col min="12548" max="12550" width="0" style="581" hidden="1" customWidth="1"/>
    <col min="12551" max="12554" width="11.5" style="581" customWidth="1"/>
    <col min="12555" max="12555" width="7.125" style="581" customWidth="1"/>
    <col min="12556" max="12556" width="0" style="581" hidden="1" customWidth="1"/>
    <col min="12557" max="12557" width="11.75" style="581" customWidth="1"/>
    <col min="12558" max="12558" width="10.75" style="581" customWidth="1"/>
    <col min="12559" max="12800" width="9" style="581"/>
    <col min="12801" max="12801" width="5.25" style="581" customWidth="1"/>
    <col min="12802" max="12802" width="4.875" style="581" customWidth="1"/>
    <col min="12803" max="12803" width="29.5" style="581" customWidth="1"/>
    <col min="12804" max="12806" width="0" style="581" hidden="1" customWidth="1"/>
    <col min="12807" max="12810" width="11.5" style="581" customWidth="1"/>
    <col min="12811" max="12811" width="7.125" style="581" customWidth="1"/>
    <col min="12812" max="12812" width="0" style="581" hidden="1" customWidth="1"/>
    <col min="12813" max="12813" width="11.75" style="581" customWidth="1"/>
    <col min="12814" max="12814" width="10.75" style="581" customWidth="1"/>
    <col min="12815" max="13056" width="9" style="581"/>
    <col min="13057" max="13057" width="5.25" style="581" customWidth="1"/>
    <col min="13058" max="13058" width="4.875" style="581" customWidth="1"/>
    <col min="13059" max="13059" width="29.5" style="581" customWidth="1"/>
    <col min="13060" max="13062" width="0" style="581" hidden="1" customWidth="1"/>
    <col min="13063" max="13066" width="11.5" style="581" customWidth="1"/>
    <col min="13067" max="13067" width="7.125" style="581" customWidth="1"/>
    <col min="13068" max="13068" width="0" style="581" hidden="1" customWidth="1"/>
    <col min="13069" max="13069" width="11.75" style="581" customWidth="1"/>
    <col min="13070" max="13070" width="10.75" style="581" customWidth="1"/>
    <col min="13071" max="13312" width="9" style="581"/>
    <col min="13313" max="13313" width="5.25" style="581" customWidth="1"/>
    <col min="13314" max="13314" width="4.875" style="581" customWidth="1"/>
    <col min="13315" max="13315" width="29.5" style="581" customWidth="1"/>
    <col min="13316" max="13318" width="0" style="581" hidden="1" customWidth="1"/>
    <col min="13319" max="13322" width="11.5" style="581" customWidth="1"/>
    <col min="13323" max="13323" width="7.125" style="581" customWidth="1"/>
    <col min="13324" max="13324" width="0" style="581" hidden="1" customWidth="1"/>
    <col min="13325" max="13325" width="11.75" style="581" customWidth="1"/>
    <col min="13326" max="13326" width="10.75" style="581" customWidth="1"/>
    <col min="13327" max="13568" width="9" style="581"/>
    <col min="13569" max="13569" width="5.25" style="581" customWidth="1"/>
    <col min="13570" max="13570" width="4.875" style="581" customWidth="1"/>
    <col min="13571" max="13571" width="29.5" style="581" customWidth="1"/>
    <col min="13572" max="13574" width="0" style="581" hidden="1" customWidth="1"/>
    <col min="13575" max="13578" width="11.5" style="581" customWidth="1"/>
    <col min="13579" max="13579" width="7.125" style="581" customWidth="1"/>
    <col min="13580" max="13580" width="0" style="581" hidden="1" customWidth="1"/>
    <col min="13581" max="13581" width="11.75" style="581" customWidth="1"/>
    <col min="13582" max="13582" width="10.75" style="581" customWidth="1"/>
    <col min="13583" max="13824" width="9" style="581"/>
    <col min="13825" max="13825" width="5.25" style="581" customWidth="1"/>
    <col min="13826" max="13826" width="4.875" style="581" customWidth="1"/>
    <col min="13827" max="13827" width="29.5" style="581" customWidth="1"/>
    <col min="13828" max="13830" width="0" style="581" hidden="1" customWidth="1"/>
    <col min="13831" max="13834" width="11.5" style="581" customWidth="1"/>
    <col min="13835" max="13835" width="7.125" style="581" customWidth="1"/>
    <col min="13836" max="13836" width="0" style="581" hidden="1" customWidth="1"/>
    <col min="13837" max="13837" width="11.75" style="581" customWidth="1"/>
    <col min="13838" max="13838" width="10.75" style="581" customWidth="1"/>
    <col min="13839" max="14080" width="9" style="581"/>
    <col min="14081" max="14081" width="5.25" style="581" customWidth="1"/>
    <col min="14082" max="14082" width="4.875" style="581" customWidth="1"/>
    <col min="14083" max="14083" width="29.5" style="581" customWidth="1"/>
    <col min="14084" max="14086" width="0" style="581" hidden="1" customWidth="1"/>
    <col min="14087" max="14090" width="11.5" style="581" customWidth="1"/>
    <col min="14091" max="14091" width="7.125" style="581" customWidth="1"/>
    <col min="14092" max="14092" width="0" style="581" hidden="1" customWidth="1"/>
    <col min="14093" max="14093" width="11.75" style="581" customWidth="1"/>
    <col min="14094" max="14094" width="10.75" style="581" customWidth="1"/>
    <col min="14095" max="14336" width="9" style="581"/>
    <col min="14337" max="14337" width="5.25" style="581" customWidth="1"/>
    <col min="14338" max="14338" width="4.875" style="581" customWidth="1"/>
    <col min="14339" max="14339" width="29.5" style="581" customWidth="1"/>
    <col min="14340" max="14342" width="0" style="581" hidden="1" customWidth="1"/>
    <col min="14343" max="14346" width="11.5" style="581" customWidth="1"/>
    <col min="14347" max="14347" width="7.125" style="581" customWidth="1"/>
    <col min="14348" max="14348" width="0" style="581" hidden="1" customWidth="1"/>
    <col min="14349" max="14349" width="11.75" style="581" customWidth="1"/>
    <col min="14350" max="14350" width="10.75" style="581" customWidth="1"/>
    <col min="14351" max="14592" width="9" style="581"/>
    <col min="14593" max="14593" width="5.25" style="581" customWidth="1"/>
    <col min="14594" max="14594" width="4.875" style="581" customWidth="1"/>
    <col min="14595" max="14595" width="29.5" style="581" customWidth="1"/>
    <col min="14596" max="14598" width="0" style="581" hidden="1" customWidth="1"/>
    <col min="14599" max="14602" width="11.5" style="581" customWidth="1"/>
    <col min="14603" max="14603" width="7.125" style="581" customWidth="1"/>
    <col min="14604" max="14604" width="0" style="581" hidden="1" customWidth="1"/>
    <col min="14605" max="14605" width="11.75" style="581" customWidth="1"/>
    <col min="14606" max="14606" width="10.75" style="581" customWidth="1"/>
    <col min="14607" max="14848" width="9" style="581"/>
    <col min="14849" max="14849" width="5.25" style="581" customWidth="1"/>
    <col min="14850" max="14850" width="4.875" style="581" customWidth="1"/>
    <col min="14851" max="14851" width="29.5" style="581" customWidth="1"/>
    <col min="14852" max="14854" width="0" style="581" hidden="1" customWidth="1"/>
    <col min="14855" max="14858" width="11.5" style="581" customWidth="1"/>
    <col min="14859" max="14859" width="7.125" style="581" customWidth="1"/>
    <col min="14860" max="14860" width="0" style="581" hidden="1" customWidth="1"/>
    <col min="14861" max="14861" width="11.75" style="581" customWidth="1"/>
    <col min="14862" max="14862" width="10.75" style="581" customWidth="1"/>
    <col min="14863" max="15104" width="9" style="581"/>
    <col min="15105" max="15105" width="5.25" style="581" customWidth="1"/>
    <col min="15106" max="15106" width="4.875" style="581" customWidth="1"/>
    <col min="15107" max="15107" width="29.5" style="581" customWidth="1"/>
    <col min="15108" max="15110" width="0" style="581" hidden="1" customWidth="1"/>
    <col min="15111" max="15114" width="11.5" style="581" customWidth="1"/>
    <col min="15115" max="15115" width="7.125" style="581" customWidth="1"/>
    <col min="15116" max="15116" width="0" style="581" hidden="1" customWidth="1"/>
    <col min="15117" max="15117" width="11.75" style="581" customWidth="1"/>
    <col min="15118" max="15118" width="10.75" style="581" customWidth="1"/>
    <col min="15119" max="15360" width="9" style="581"/>
    <col min="15361" max="15361" width="5.25" style="581" customWidth="1"/>
    <col min="15362" max="15362" width="4.875" style="581" customWidth="1"/>
    <col min="15363" max="15363" width="29.5" style="581" customWidth="1"/>
    <col min="15364" max="15366" width="0" style="581" hidden="1" customWidth="1"/>
    <col min="15367" max="15370" width="11.5" style="581" customWidth="1"/>
    <col min="15371" max="15371" width="7.125" style="581" customWidth="1"/>
    <col min="15372" max="15372" width="0" style="581" hidden="1" customWidth="1"/>
    <col min="15373" max="15373" width="11.75" style="581" customWidth="1"/>
    <col min="15374" max="15374" width="10.75" style="581" customWidth="1"/>
    <col min="15375" max="15616" width="9" style="581"/>
    <col min="15617" max="15617" width="5.25" style="581" customWidth="1"/>
    <col min="15618" max="15618" width="4.875" style="581" customWidth="1"/>
    <col min="15619" max="15619" width="29.5" style="581" customWidth="1"/>
    <col min="15620" max="15622" width="0" style="581" hidden="1" customWidth="1"/>
    <col min="15623" max="15626" width="11.5" style="581" customWidth="1"/>
    <col min="15627" max="15627" width="7.125" style="581" customWidth="1"/>
    <col min="15628" max="15628" width="0" style="581" hidden="1" customWidth="1"/>
    <col min="15629" max="15629" width="11.75" style="581" customWidth="1"/>
    <col min="15630" max="15630" width="10.75" style="581" customWidth="1"/>
    <col min="15631" max="15872" width="9" style="581"/>
    <col min="15873" max="15873" width="5.25" style="581" customWidth="1"/>
    <col min="15874" max="15874" width="4.875" style="581" customWidth="1"/>
    <col min="15875" max="15875" width="29.5" style="581" customWidth="1"/>
    <col min="15876" max="15878" width="0" style="581" hidden="1" customWidth="1"/>
    <col min="15879" max="15882" width="11.5" style="581" customWidth="1"/>
    <col min="15883" max="15883" width="7.125" style="581" customWidth="1"/>
    <col min="15884" max="15884" width="0" style="581" hidden="1" customWidth="1"/>
    <col min="15885" max="15885" width="11.75" style="581" customWidth="1"/>
    <col min="15886" max="15886" width="10.75" style="581" customWidth="1"/>
    <col min="15887" max="16128" width="9" style="581"/>
    <col min="16129" max="16129" width="5.25" style="581" customWidth="1"/>
    <col min="16130" max="16130" width="4.875" style="581" customWidth="1"/>
    <col min="16131" max="16131" width="29.5" style="581" customWidth="1"/>
    <col min="16132" max="16134" width="0" style="581" hidden="1" customWidth="1"/>
    <col min="16135" max="16138" width="11.5" style="581" customWidth="1"/>
    <col min="16139" max="16139" width="7.125" style="581" customWidth="1"/>
    <col min="16140" max="16140" width="0" style="581" hidden="1" customWidth="1"/>
    <col min="16141" max="16141" width="11.75" style="581" customWidth="1"/>
    <col min="16142" max="16142" width="10.75" style="581" customWidth="1"/>
    <col min="16143" max="16384" width="9" style="581"/>
  </cols>
  <sheetData>
    <row r="1" spans="1:14" ht="18.75">
      <c r="A1" s="1128" t="s">
        <v>189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</row>
    <row r="2" spans="1:14" ht="18.75">
      <c r="A2" s="1128" t="s">
        <v>697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  <c r="M2" s="582"/>
    </row>
    <row r="3" spans="1:14" ht="18.75">
      <c r="A3" s="1128" t="str">
        <f>+[28]สรุป!A3</f>
        <v xml:space="preserve">ณ วันที่  31 ธันวาคม 2565 </v>
      </c>
      <c r="B3" s="1128"/>
      <c r="C3" s="1128"/>
      <c r="D3" s="1128"/>
      <c r="E3" s="1128"/>
      <c r="F3" s="1128"/>
      <c r="G3" s="1128"/>
      <c r="H3" s="1128"/>
      <c r="I3" s="1128"/>
      <c r="J3" s="1128"/>
      <c r="K3" s="1128"/>
      <c r="M3" s="582"/>
    </row>
    <row r="4" spans="1:14" ht="6" customHeight="1">
      <c r="A4" s="581"/>
      <c r="B4" s="583"/>
      <c r="C4" s="584"/>
      <c r="D4" s="584"/>
      <c r="E4" s="585"/>
      <c r="F4" s="586"/>
      <c r="G4" s="587"/>
      <c r="H4" s="588"/>
      <c r="I4" s="588"/>
      <c r="J4" s="588"/>
      <c r="K4" s="581"/>
      <c r="M4" s="582"/>
    </row>
    <row r="5" spans="1:14" ht="21.75" customHeight="1">
      <c r="A5" s="589" t="s">
        <v>698</v>
      </c>
      <c r="B5" s="1129" t="s">
        <v>668</v>
      </c>
      <c r="C5" s="1130"/>
      <c r="D5" s="590" t="s">
        <v>699</v>
      </c>
      <c r="E5" s="591" t="s">
        <v>390</v>
      </c>
      <c r="F5" s="592" t="s">
        <v>700</v>
      </c>
      <c r="G5" s="591" t="s">
        <v>701</v>
      </c>
      <c r="H5" s="591" t="s">
        <v>702</v>
      </c>
      <c r="I5" s="589" t="s">
        <v>127</v>
      </c>
      <c r="J5" s="589" t="s">
        <v>206</v>
      </c>
      <c r="K5" s="591" t="s">
        <v>703</v>
      </c>
    </row>
    <row r="6" spans="1:14" ht="16.5" thickBot="1">
      <c r="A6" s="593"/>
      <c r="B6" s="594"/>
      <c r="C6" s="595" t="s">
        <v>704</v>
      </c>
      <c r="D6" s="595" t="s">
        <v>705</v>
      </c>
      <c r="E6" s="596">
        <f>SUM(E8:E123)</f>
        <v>2975084</v>
      </c>
      <c r="F6" s="597"/>
      <c r="G6" s="596">
        <f>G7+G100</f>
        <v>3975084</v>
      </c>
      <c r="H6" s="596">
        <f>H7+H100</f>
        <v>7800</v>
      </c>
      <c r="I6" s="596">
        <f>I7+I100</f>
        <v>365413.32</v>
      </c>
      <c r="J6" s="596">
        <f>J7+J100</f>
        <v>3601870.68</v>
      </c>
      <c r="K6" s="596">
        <f>I6*100/G6</f>
        <v>9.1925936659451732</v>
      </c>
      <c r="L6" s="598"/>
    </row>
    <row r="7" spans="1:14" s="605" customFormat="1" ht="16.5" outlineLevel="1" thickTop="1">
      <c r="A7" s="599">
        <v>1</v>
      </c>
      <c r="B7" s="600" t="s">
        <v>671</v>
      </c>
      <c r="C7" s="601"/>
      <c r="D7" s="602"/>
      <c r="E7" s="603"/>
      <c r="F7" s="604"/>
      <c r="G7" s="603">
        <f>+G8+G17+G23+G29+G38+G47+G56+G61+G69+G74+G80+G88+G96</f>
        <v>3075084</v>
      </c>
      <c r="H7" s="603">
        <f>+H8+H17+H23+H29+H38+H47+H56+H61+H69+H74+H80+H88+H96</f>
        <v>7800</v>
      </c>
      <c r="I7" s="603">
        <f>+I8+I17+I23+I29+I38+I47+I56+I61+I69+I74+I80+I88+I96</f>
        <v>365413.32</v>
      </c>
      <c r="J7" s="603">
        <f>+J8+J17+J23+J29+J38+J47+J56+J61+J69+J74+J80+J88+J96</f>
        <v>2701870.68</v>
      </c>
      <c r="K7" s="603">
        <f>I7*100/G7</f>
        <v>11.883035390252754</v>
      </c>
      <c r="M7" s="606"/>
      <c r="N7" s="581"/>
    </row>
    <row r="8" spans="1:14" s="605" customFormat="1" outlineLevel="1">
      <c r="A8" s="607"/>
      <c r="B8" s="608" t="s">
        <v>672</v>
      </c>
      <c r="C8" s="609"/>
      <c r="D8" s="610"/>
      <c r="E8" s="611"/>
      <c r="F8" s="612"/>
      <c r="G8" s="613">
        <f>SUM(G9:G16)</f>
        <v>602630</v>
      </c>
      <c r="H8" s="613">
        <f>SUM(H9:H16)</f>
        <v>0</v>
      </c>
      <c r="I8" s="613">
        <f>SUM(I9:I16)</f>
        <v>135800</v>
      </c>
      <c r="J8" s="613">
        <f>SUM(J9:J16)</f>
        <v>466830</v>
      </c>
      <c r="K8" s="613">
        <v>0</v>
      </c>
      <c r="M8" s="614"/>
    </row>
    <row r="9" spans="1:14" s="605" customFormat="1" outlineLevel="1">
      <c r="A9" s="615"/>
      <c r="B9" s="616" t="s">
        <v>706</v>
      </c>
      <c r="C9" s="617" t="s">
        <v>472</v>
      </c>
      <c r="D9" s="618">
        <v>2100200154</v>
      </c>
      <c r="E9" s="619">
        <v>417960</v>
      </c>
      <c r="F9" s="620"/>
      <c r="G9" s="619">
        <f>SUM(E9:F9)</f>
        <v>417960</v>
      </c>
      <c r="H9" s="621"/>
      <c r="I9" s="621">
        <v>135800</v>
      </c>
      <c r="J9" s="622">
        <f>G9-H9-I9</f>
        <v>282160</v>
      </c>
      <c r="K9" s="621">
        <v>0</v>
      </c>
      <c r="L9" s="622">
        <f>I9*100/G9</f>
        <v>32.491147478227582</v>
      </c>
      <c r="M9" s="614"/>
      <c r="N9" s="623"/>
    </row>
    <row r="10" spans="1:14" s="605" customFormat="1" outlineLevel="1">
      <c r="A10" s="624"/>
      <c r="B10" s="625" t="s">
        <v>707</v>
      </c>
      <c r="C10" s="626" t="s">
        <v>474</v>
      </c>
      <c r="D10" s="627">
        <v>2100200156</v>
      </c>
      <c r="E10" s="619">
        <v>15000</v>
      </c>
      <c r="F10" s="620"/>
      <c r="G10" s="619">
        <f t="shared" ref="G10:G16" si="0">SUM(E10:F10)</f>
        <v>15000</v>
      </c>
      <c r="H10" s="628"/>
      <c r="I10" s="628"/>
      <c r="J10" s="628">
        <f t="shared" ref="J10:J16" si="1">G10-H10-I10</f>
        <v>15000</v>
      </c>
      <c r="K10" s="628">
        <v>0</v>
      </c>
      <c r="L10" s="622">
        <f t="shared" ref="L10:L16" si="2">I10*100/G10</f>
        <v>0</v>
      </c>
      <c r="M10" s="614"/>
      <c r="N10" s="623"/>
    </row>
    <row r="11" spans="1:14" s="605" customFormat="1" outlineLevel="1" collapsed="1">
      <c r="A11" s="624"/>
      <c r="B11" s="625" t="s">
        <v>708</v>
      </c>
      <c r="C11" s="626" t="s">
        <v>476</v>
      </c>
      <c r="D11" s="627">
        <v>2100200158</v>
      </c>
      <c r="E11" s="619"/>
      <c r="F11" s="620"/>
      <c r="G11" s="619">
        <f t="shared" si="0"/>
        <v>0</v>
      </c>
      <c r="H11" s="628"/>
      <c r="I11" s="628"/>
      <c r="J11" s="628">
        <f t="shared" si="1"/>
        <v>0</v>
      </c>
      <c r="K11" s="628">
        <v>0</v>
      </c>
      <c r="L11" s="622" t="e">
        <f t="shared" si="2"/>
        <v>#DIV/0!</v>
      </c>
      <c r="M11" s="614"/>
      <c r="N11" s="623"/>
    </row>
    <row r="12" spans="1:14" s="605" customFormat="1" outlineLevel="1">
      <c r="A12" s="615"/>
      <c r="B12" s="629" t="s">
        <v>709</v>
      </c>
      <c r="C12" s="617" t="s">
        <v>478</v>
      </c>
      <c r="D12" s="618">
        <v>2100200162</v>
      </c>
      <c r="E12" s="619"/>
      <c r="F12" s="620"/>
      <c r="G12" s="619">
        <f t="shared" si="0"/>
        <v>0</v>
      </c>
      <c r="H12" s="628"/>
      <c r="I12" s="628"/>
      <c r="J12" s="628">
        <f t="shared" si="1"/>
        <v>0</v>
      </c>
      <c r="K12" s="628">
        <v>0</v>
      </c>
      <c r="L12" s="622" t="e">
        <f t="shared" si="2"/>
        <v>#DIV/0!</v>
      </c>
      <c r="M12" s="614"/>
      <c r="N12" s="623"/>
    </row>
    <row r="13" spans="1:14" s="605" customFormat="1" outlineLevel="1" collapsed="1">
      <c r="A13" s="624"/>
      <c r="B13" s="630" t="s">
        <v>710</v>
      </c>
      <c r="C13" s="626" t="s">
        <v>480</v>
      </c>
      <c r="D13" s="627">
        <v>2100200164</v>
      </c>
      <c r="E13" s="619">
        <v>169670</v>
      </c>
      <c r="F13" s="620"/>
      <c r="G13" s="619">
        <f t="shared" si="0"/>
        <v>169670</v>
      </c>
      <c r="H13" s="628"/>
      <c r="I13" s="628"/>
      <c r="J13" s="628">
        <f t="shared" si="1"/>
        <v>169670</v>
      </c>
      <c r="K13" s="628">
        <v>0</v>
      </c>
      <c r="L13" s="622">
        <f t="shared" si="2"/>
        <v>0</v>
      </c>
      <c r="M13" s="614"/>
      <c r="N13" s="623"/>
    </row>
    <row r="14" spans="1:14" s="605" customFormat="1" outlineLevel="1" collapsed="1">
      <c r="A14" s="624"/>
      <c r="B14" s="625" t="s">
        <v>711</v>
      </c>
      <c r="C14" s="626" t="s">
        <v>482</v>
      </c>
      <c r="D14" s="627">
        <v>2100200166</v>
      </c>
      <c r="E14" s="619"/>
      <c r="F14" s="620"/>
      <c r="G14" s="619">
        <f t="shared" si="0"/>
        <v>0</v>
      </c>
      <c r="H14" s="628"/>
      <c r="I14" s="628"/>
      <c r="J14" s="628">
        <f t="shared" si="1"/>
        <v>0</v>
      </c>
      <c r="K14" s="628">
        <v>0</v>
      </c>
      <c r="L14" s="622" t="e">
        <f t="shared" si="2"/>
        <v>#DIV/0!</v>
      </c>
      <c r="M14" s="614"/>
      <c r="N14" s="623"/>
    </row>
    <row r="15" spans="1:14" s="605" customFormat="1" outlineLevel="1">
      <c r="A15" s="615"/>
      <c r="B15" s="630" t="s">
        <v>712</v>
      </c>
      <c r="C15" s="617" t="s">
        <v>484</v>
      </c>
      <c r="D15" s="618">
        <v>2100200169</v>
      </c>
      <c r="E15" s="619"/>
      <c r="F15" s="620"/>
      <c r="G15" s="619">
        <f t="shared" si="0"/>
        <v>0</v>
      </c>
      <c r="H15" s="628"/>
      <c r="I15" s="628"/>
      <c r="J15" s="628">
        <f t="shared" si="1"/>
        <v>0</v>
      </c>
      <c r="K15" s="628">
        <v>0</v>
      </c>
      <c r="L15" s="622" t="e">
        <f t="shared" si="2"/>
        <v>#DIV/0!</v>
      </c>
      <c r="M15" s="614"/>
      <c r="N15" s="623"/>
    </row>
    <row r="16" spans="1:14" s="637" customFormat="1" outlineLevel="1" collapsed="1">
      <c r="A16" s="631"/>
      <c r="B16" s="632" t="s">
        <v>713</v>
      </c>
      <c r="C16" s="633" t="s">
        <v>486</v>
      </c>
      <c r="D16" s="634">
        <v>2100200171</v>
      </c>
      <c r="E16" s="635"/>
      <c r="F16" s="620"/>
      <c r="G16" s="619">
        <f t="shared" si="0"/>
        <v>0</v>
      </c>
      <c r="H16" s="636"/>
      <c r="I16" s="636"/>
      <c r="J16" s="622">
        <f t="shared" si="1"/>
        <v>0</v>
      </c>
      <c r="K16" s="636">
        <v>0</v>
      </c>
      <c r="L16" s="622" t="e">
        <f t="shared" si="2"/>
        <v>#DIV/0!</v>
      </c>
      <c r="M16" s="614"/>
      <c r="N16" s="623"/>
    </row>
    <row r="17" spans="1:14" s="605" customFormat="1" outlineLevel="1">
      <c r="A17" s="607"/>
      <c r="B17" s="608" t="s">
        <v>673</v>
      </c>
      <c r="C17" s="609"/>
      <c r="D17" s="610"/>
      <c r="E17" s="638"/>
      <c r="F17" s="620"/>
      <c r="G17" s="613">
        <f>SUM(G18:G22)</f>
        <v>54000</v>
      </c>
      <c r="H17" s="613">
        <f>SUM(H18:H22)</f>
        <v>0</v>
      </c>
      <c r="I17" s="613">
        <f>SUM(I18:I22)</f>
        <v>0</v>
      </c>
      <c r="J17" s="613">
        <f>SUM(J18:J22)</f>
        <v>54000</v>
      </c>
      <c r="K17" s="603">
        <v>0</v>
      </c>
      <c r="L17" s="622"/>
      <c r="M17" s="614"/>
      <c r="N17" s="623"/>
    </row>
    <row r="18" spans="1:14" s="605" customFormat="1" outlineLevel="1">
      <c r="A18" s="639"/>
      <c r="B18" s="629" t="s">
        <v>714</v>
      </c>
      <c r="C18" s="640" t="s">
        <v>489</v>
      </c>
      <c r="D18" s="641">
        <v>2100200160</v>
      </c>
      <c r="E18" s="619"/>
      <c r="F18" s="620"/>
      <c r="G18" s="619">
        <f>SUM(E18:F18)</f>
        <v>0</v>
      </c>
      <c r="H18" s="621"/>
      <c r="I18" s="621"/>
      <c r="J18" s="642">
        <f>G18-H18-I18</f>
        <v>0</v>
      </c>
      <c r="K18" s="642">
        <v>0</v>
      </c>
      <c r="L18" s="643"/>
      <c r="M18" s="614"/>
      <c r="N18" s="623"/>
    </row>
    <row r="19" spans="1:14" s="605" customFormat="1" outlineLevel="1" collapsed="1">
      <c r="A19" s="624"/>
      <c r="B19" s="625" t="s">
        <v>715</v>
      </c>
      <c r="C19" s="626" t="s">
        <v>491</v>
      </c>
      <c r="D19" s="627">
        <v>2100200179</v>
      </c>
      <c r="E19" s="619">
        <v>54000</v>
      </c>
      <c r="F19" s="620"/>
      <c r="G19" s="619">
        <f>SUM(E19:F19)</f>
        <v>54000</v>
      </c>
      <c r="H19" s="628"/>
      <c r="I19" s="628"/>
      <c r="J19" s="628">
        <f>G19-H19-I19</f>
        <v>54000</v>
      </c>
      <c r="K19" s="628">
        <v>0</v>
      </c>
      <c r="L19" s="643"/>
      <c r="M19" s="614"/>
      <c r="N19" s="623"/>
    </row>
    <row r="20" spans="1:14" s="605" customFormat="1" outlineLevel="1" collapsed="1">
      <c r="A20" s="624"/>
      <c r="B20" s="625" t="s">
        <v>716</v>
      </c>
      <c r="C20" s="626" t="s">
        <v>493</v>
      </c>
      <c r="D20" s="627">
        <v>2100200182</v>
      </c>
      <c r="E20" s="619"/>
      <c r="F20" s="620"/>
      <c r="G20" s="619">
        <f>SUM(E20:F20)</f>
        <v>0</v>
      </c>
      <c r="H20" s="628"/>
      <c r="I20" s="628"/>
      <c r="J20" s="628">
        <f>G20-H20-I20</f>
        <v>0</v>
      </c>
      <c r="K20" s="628">
        <v>0</v>
      </c>
      <c r="L20" s="643"/>
      <c r="M20" s="614"/>
      <c r="N20" s="623"/>
    </row>
    <row r="21" spans="1:14" s="605" customFormat="1" outlineLevel="1" collapsed="1">
      <c r="A21" s="624"/>
      <c r="B21" s="625" t="s">
        <v>717</v>
      </c>
      <c r="C21" s="626" t="s">
        <v>495</v>
      </c>
      <c r="D21" s="627">
        <v>2100200185</v>
      </c>
      <c r="E21" s="619"/>
      <c r="F21" s="620"/>
      <c r="G21" s="619">
        <f>SUM(E21:F21)</f>
        <v>0</v>
      </c>
      <c r="H21" s="628"/>
      <c r="I21" s="628"/>
      <c r="J21" s="628">
        <f>G21-H21-I21</f>
        <v>0</v>
      </c>
      <c r="K21" s="628">
        <v>0</v>
      </c>
      <c r="L21" s="643"/>
      <c r="M21" s="614"/>
      <c r="N21" s="623"/>
    </row>
    <row r="22" spans="1:14" s="605" customFormat="1" outlineLevel="1" collapsed="1">
      <c r="A22" s="631"/>
      <c r="B22" s="625" t="s">
        <v>718</v>
      </c>
      <c r="C22" s="633" t="s">
        <v>497</v>
      </c>
      <c r="D22" s="634">
        <v>2100200189</v>
      </c>
      <c r="E22" s="635"/>
      <c r="F22" s="620"/>
      <c r="G22" s="619">
        <f>SUM(E22:F22)</f>
        <v>0</v>
      </c>
      <c r="H22" s="636"/>
      <c r="I22" s="636"/>
      <c r="J22" s="636">
        <f>G22-H22-I22</f>
        <v>0</v>
      </c>
      <c r="K22" s="628">
        <v>0</v>
      </c>
      <c r="L22" s="643"/>
      <c r="M22" s="614"/>
      <c r="N22" s="623"/>
    </row>
    <row r="23" spans="1:14" s="605" customFormat="1" outlineLevel="1">
      <c r="A23" s="607"/>
      <c r="B23" s="608" t="s">
        <v>719</v>
      </c>
      <c r="C23" s="609"/>
      <c r="D23" s="610"/>
      <c r="E23" s="638"/>
      <c r="F23" s="620"/>
      <c r="G23" s="613">
        <f>SUM(G24:G28)</f>
        <v>0</v>
      </c>
      <c r="H23" s="613">
        <f>SUM(H24:H28)</f>
        <v>0</v>
      </c>
      <c r="I23" s="613">
        <f>SUM(I24:I28)</f>
        <v>0</v>
      </c>
      <c r="J23" s="613">
        <f>SUM(J24:J28)</f>
        <v>0</v>
      </c>
      <c r="K23" s="613">
        <v>0</v>
      </c>
      <c r="L23" s="643"/>
      <c r="M23" s="614"/>
      <c r="N23" s="623"/>
    </row>
    <row r="24" spans="1:14" s="605" customFormat="1" outlineLevel="1" collapsed="1">
      <c r="A24" s="644"/>
      <c r="B24" s="645" t="s">
        <v>720</v>
      </c>
      <c r="C24" s="646" t="s">
        <v>500</v>
      </c>
      <c r="D24" s="647">
        <v>2100200094</v>
      </c>
      <c r="E24" s="619"/>
      <c r="F24" s="620"/>
      <c r="G24" s="648">
        <f>SUM(E24:F24)</f>
        <v>0</v>
      </c>
      <c r="H24" s="621"/>
      <c r="I24" s="621"/>
      <c r="J24" s="621">
        <f>G24-H24-I24</f>
        <v>0</v>
      </c>
      <c r="K24" s="621">
        <v>0</v>
      </c>
      <c r="L24" s="643"/>
      <c r="M24" s="614"/>
      <c r="N24" s="623"/>
    </row>
    <row r="25" spans="1:14" outlineLevel="1">
      <c r="A25" s="639"/>
      <c r="B25" s="629" t="s">
        <v>721</v>
      </c>
      <c r="C25" s="640" t="s">
        <v>502</v>
      </c>
      <c r="D25" s="641">
        <v>2100200173</v>
      </c>
      <c r="E25" s="619"/>
      <c r="F25" s="620"/>
      <c r="G25" s="649">
        <f>SUM(E25:F25)</f>
        <v>0</v>
      </c>
      <c r="H25" s="628"/>
      <c r="I25" s="628"/>
      <c r="J25" s="642">
        <f>G25-H25-I25</f>
        <v>0</v>
      </c>
      <c r="K25" s="642">
        <v>0</v>
      </c>
      <c r="L25" s="643"/>
      <c r="M25" s="614"/>
      <c r="N25" s="623"/>
    </row>
    <row r="26" spans="1:14" outlineLevel="1" collapsed="1">
      <c r="A26" s="624"/>
      <c r="B26" s="625" t="s">
        <v>722</v>
      </c>
      <c r="C26" s="626" t="s">
        <v>504</v>
      </c>
      <c r="D26" s="627">
        <v>2100200175</v>
      </c>
      <c r="E26" s="619"/>
      <c r="F26" s="620"/>
      <c r="G26" s="649">
        <f>SUM(E26:F26)</f>
        <v>0</v>
      </c>
      <c r="H26" s="628"/>
      <c r="I26" s="628"/>
      <c r="J26" s="628">
        <f>G26-H26-I26</f>
        <v>0</v>
      </c>
      <c r="K26" s="642">
        <v>0</v>
      </c>
      <c r="L26" s="643"/>
      <c r="M26" s="614"/>
      <c r="N26" s="623"/>
    </row>
    <row r="27" spans="1:14" outlineLevel="1" collapsed="1">
      <c r="A27" s="624"/>
      <c r="B27" s="629" t="s">
        <v>723</v>
      </c>
      <c r="C27" s="626" t="s">
        <v>506</v>
      </c>
      <c r="D27" s="627">
        <v>2100200177</v>
      </c>
      <c r="E27" s="619"/>
      <c r="F27" s="620"/>
      <c r="G27" s="649">
        <f>SUM(E27:F27)</f>
        <v>0</v>
      </c>
      <c r="H27" s="628"/>
      <c r="I27" s="628"/>
      <c r="J27" s="628">
        <f>G27-H27-I27</f>
        <v>0</v>
      </c>
      <c r="K27" s="642">
        <v>0</v>
      </c>
      <c r="L27" s="643"/>
      <c r="M27" s="614"/>
      <c r="N27" s="623"/>
    </row>
    <row r="28" spans="1:14" s="605" customFormat="1" outlineLevel="1" collapsed="1">
      <c r="A28" s="650"/>
      <c r="B28" s="625" t="s">
        <v>724</v>
      </c>
      <c r="C28" s="601" t="s">
        <v>508</v>
      </c>
      <c r="D28" s="651">
        <v>2100200187</v>
      </c>
      <c r="E28" s="635"/>
      <c r="F28" s="620"/>
      <c r="G28" s="652">
        <f>SUM(E28:F28)</f>
        <v>0</v>
      </c>
      <c r="H28" s="636"/>
      <c r="I28" s="636"/>
      <c r="J28" s="653">
        <f>G28-H28-I28</f>
        <v>0</v>
      </c>
      <c r="K28" s="642">
        <v>0</v>
      </c>
      <c r="L28" s="643"/>
      <c r="M28" s="614"/>
      <c r="N28" s="623"/>
    </row>
    <row r="29" spans="1:14" s="605" customFormat="1" outlineLevel="1" collapsed="1">
      <c r="A29" s="607"/>
      <c r="B29" s="654" t="s">
        <v>725</v>
      </c>
      <c r="C29" s="654"/>
      <c r="D29" s="610"/>
      <c r="E29" s="638"/>
      <c r="F29" s="620"/>
      <c r="G29" s="613">
        <f>SUM(G30:G37)</f>
        <v>0</v>
      </c>
      <c r="H29" s="613">
        <f>SUM(H30:H37)</f>
        <v>0</v>
      </c>
      <c r="I29" s="613">
        <f>SUM(I30:I37)</f>
        <v>0</v>
      </c>
      <c r="J29" s="613">
        <f>SUM(J30:J37)</f>
        <v>0</v>
      </c>
      <c r="K29" s="613">
        <v>0</v>
      </c>
      <c r="L29" s="643"/>
      <c r="M29" s="614"/>
      <c r="N29" s="623"/>
    </row>
    <row r="30" spans="1:14" outlineLevel="1">
      <c r="A30" s="655"/>
      <c r="B30" s="656" t="s">
        <v>726</v>
      </c>
      <c r="C30" s="617" t="s">
        <v>511</v>
      </c>
      <c r="D30" s="618">
        <v>2100200078</v>
      </c>
      <c r="E30" s="619"/>
      <c r="F30" s="657"/>
      <c r="G30" s="648">
        <f>SUM(E30:F30)</f>
        <v>0</v>
      </c>
      <c r="H30" s="621"/>
      <c r="I30" s="621"/>
      <c r="J30" s="653">
        <f t="shared" ref="J30:J37" si="3">G30-H30-I30</f>
        <v>0</v>
      </c>
      <c r="K30" s="622">
        <v>0</v>
      </c>
      <c r="L30" s="643"/>
      <c r="M30" s="614"/>
      <c r="N30" s="623"/>
    </row>
    <row r="31" spans="1:14" s="605" customFormat="1" outlineLevel="1">
      <c r="A31" s="624"/>
      <c r="B31" s="658" t="s">
        <v>727</v>
      </c>
      <c r="C31" s="626" t="s">
        <v>513</v>
      </c>
      <c r="D31" s="627">
        <v>2100200081</v>
      </c>
      <c r="E31" s="619"/>
      <c r="F31" s="659"/>
      <c r="G31" s="649">
        <f t="shared" ref="G31:G37" si="4">SUM(E31:F31)</f>
        <v>0</v>
      </c>
      <c r="H31" s="628"/>
      <c r="I31" s="628"/>
      <c r="J31" s="628">
        <f t="shared" si="3"/>
        <v>0</v>
      </c>
      <c r="K31" s="642">
        <v>0</v>
      </c>
      <c r="L31" s="643"/>
      <c r="M31" s="614"/>
      <c r="N31" s="623"/>
    </row>
    <row r="32" spans="1:14" s="605" customFormat="1" outlineLevel="1">
      <c r="A32" s="624"/>
      <c r="B32" s="658" t="s">
        <v>728</v>
      </c>
      <c r="C32" s="626" t="s">
        <v>515</v>
      </c>
      <c r="D32" s="627">
        <v>2100200083</v>
      </c>
      <c r="E32" s="619"/>
      <c r="F32" s="659"/>
      <c r="G32" s="649">
        <f t="shared" si="4"/>
        <v>0</v>
      </c>
      <c r="H32" s="628"/>
      <c r="I32" s="628"/>
      <c r="J32" s="628">
        <f t="shared" si="3"/>
        <v>0</v>
      </c>
      <c r="K32" s="642">
        <v>0</v>
      </c>
      <c r="L32" s="643"/>
      <c r="M32" s="614"/>
      <c r="N32" s="623"/>
    </row>
    <row r="33" spans="1:14" s="605" customFormat="1" outlineLevel="1">
      <c r="A33" s="624"/>
      <c r="B33" s="658" t="s">
        <v>729</v>
      </c>
      <c r="C33" s="626" t="s">
        <v>517</v>
      </c>
      <c r="D33" s="627">
        <v>2100200086</v>
      </c>
      <c r="E33" s="619"/>
      <c r="F33" s="659"/>
      <c r="G33" s="649">
        <f t="shared" si="4"/>
        <v>0</v>
      </c>
      <c r="H33" s="628"/>
      <c r="I33" s="628"/>
      <c r="J33" s="628">
        <f t="shared" si="3"/>
        <v>0</v>
      </c>
      <c r="K33" s="642">
        <v>0</v>
      </c>
      <c r="L33" s="643"/>
      <c r="M33" s="614"/>
      <c r="N33" s="623"/>
    </row>
    <row r="34" spans="1:14" s="605" customFormat="1" outlineLevel="1" collapsed="1">
      <c r="A34" s="624"/>
      <c r="B34" s="658" t="s">
        <v>730</v>
      </c>
      <c r="C34" s="626" t="s">
        <v>519</v>
      </c>
      <c r="D34" s="627">
        <v>2100200088</v>
      </c>
      <c r="E34" s="619"/>
      <c r="F34" s="659"/>
      <c r="G34" s="649">
        <f t="shared" si="4"/>
        <v>0</v>
      </c>
      <c r="H34" s="628"/>
      <c r="I34" s="628"/>
      <c r="J34" s="628">
        <f t="shared" si="3"/>
        <v>0</v>
      </c>
      <c r="K34" s="642">
        <v>0</v>
      </c>
      <c r="L34" s="643"/>
      <c r="M34" s="614"/>
      <c r="N34" s="623"/>
    </row>
    <row r="35" spans="1:14" s="605" customFormat="1" outlineLevel="1" collapsed="1">
      <c r="A35" s="624"/>
      <c r="B35" s="658" t="s">
        <v>731</v>
      </c>
      <c r="C35" s="626" t="s">
        <v>521</v>
      </c>
      <c r="D35" s="627">
        <v>2100200091</v>
      </c>
      <c r="E35" s="619"/>
      <c r="F35" s="659"/>
      <c r="G35" s="649">
        <f t="shared" si="4"/>
        <v>0</v>
      </c>
      <c r="H35" s="628"/>
      <c r="I35" s="628"/>
      <c r="J35" s="628">
        <f t="shared" si="3"/>
        <v>0</v>
      </c>
      <c r="K35" s="642">
        <v>0</v>
      </c>
      <c r="L35" s="643"/>
      <c r="M35" s="614"/>
      <c r="N35" s="623"/>
    </row>
    <row r="36" spans="1:14" s="605" customFormat="1" outlineLevel="1" collapsed="1">
      <c r="A36" s="624"/>
      <c r="B36" s="658" t="s">
        <v>732</v>
      </c>
      <c r="C36" s="626" t="s">
        <v>523</v>
      </c>
      <c r="D36" s="627">
        <v>2100200096</v>
      </c>
      <c r="E36" s="619"/>
      <c r="F36" s="659"/>
      <c r="G36" s="649">
        <f t="shared" si="4"/>
        <v>0</v>
      </c>
      <c r="H36" s="628"/>
      <c r="I36" s="628"/>
      <c r="J36" s="628">
        <f t="shared" si="3"/>
        <v>0</v>
      </c>
      <c r="K36" s="642">
        <v>0</v>
      </c>
      <c r="L36" s="643"/>
      <c r="M36" s="614"/>
      <c r="N36" s="623"/>
    </row>
    <row r="37" spans="1:14" s="605" customFormat="1" outlineLevel="1">
      <c r="A37" s="639"/>
      <c r="B37" s="660" t="s">
        <v>733</v>
      </c>
      <c r="C37" s="640" t="s">
        <v>525</v>
      </c>
      <c r="D37" s="641">
        <v>2100200111</v>
      </c>
      <c r="E37" s="635"/>
      <c r="F37" s="620"/>
      <c r="G37" s="652">
        <f t="shared" si="4"/>
        <v>0</v>
      </c>
      <c r="H37" s="636"/>
      <c r="I37" s="636"/>
      <c r="J37" s="642">
        <f t="shared" si="3"/>
        <v>0</v>
      </c>
      <c r="K37" s="642">
        <v>0</v>
      </c>
      <c r="L37" s="643"/>
      <c r="M37" s="614"/>
      <c r="N37" s="623"/>
    </row>
    <row r="38" spans="1:14" s="605" customFormat="1" outlineLevel="1">
      <c r="A38" s="607"/>
      <c r="B38" s="608" t="s">
        <v>676</v>
      </c>
      <c r="C38" s="609"/>
      <c r="D38" s="610"/>
      <c r="E38" s="638"/>
      <c r="F38" s="620"/>
      <c r="G38" s="613">
        <f>SUM(G39:G46)</f>
        <v>130520</v>
      </c>
      <c r="H38" s="613">
        <f>SUM(H39:H46)</f>
        <v>0</v>
      </c>
      <c r="I38" s="613">
        <f>SUM(I39:I46)</f>
        <v>0</v>
      </c>
      <c r="J38" s="613">
        <f>SUM(J39:J46)</f>
        <v>130520</v>
      </c>
      <c r="K38" s="613">
        <v>0</v>
      </c>
      <c r="L38" s="643"/>
      <c r="M38" s="614"/>
      <c r="N38" s="623"/>
    </row>
    <row r="39" spans="1:14" s="605" customFormat="1" outlineLevel="1">
      <c r="A39" s="615"/>
      <c r="B39" s="616" t="s">
        <v>734</v>
      </c>
      <c r="C39" s="617" t="s">
        <v>528</v>
      </c>
      <c r="D39" s="618">
        <v>2100200191</v>
      </c>
      <c r="E39" s="619"/>
      <c r="F39" s="620"/>
      <c r="G39" s="619">
        <f>SUM(E39:F39)</f>
        <v>0</v>
      </c>
      <c r="H39" s="621"/>
      <c r="I39" s="621"/>
      <c r="J39" s="642">
        <f t="shared" ref="J39:J46" si="5">G39-H39-I39</f>
        <v>0</v>
      </c>
      <c r="K39" s="642">
        <v>0</v>
      </c>
      <c r="L39" s="643"/>
      <c r="M39" s="614"/>
      <c r="N39" s="623"/>
    </row>
    <row r="40" spans="1:14" s="605" customFormat="1" outlineLevel="1" collapsed="1">
      <c r="A40" s="624"/>
      <c r="B40" s="625" t="s">
        <v>735</v>
      </c>
      <c r="C40" s="626" t="s">
        <v>530</v>
      </c>
      <c r="D40" s="627">
        <v>2100200196</v>
      </c>
      <c r="E40" s="619">
        <v>38020</v>
      </c>
      <c r="F40" s="620"/>
      <c r="G40" s="619">
        <f t="shared" ref="G40:G46" si="6">SUM(E40:F40)</f>
        <v>38020</v>
      </c>
      <c r="H40" s="628"/>
      <c r="I40" s="628"/>
      <c r="J40" s="628">
        <f t="shared" si="5"/>
        <v>38020</v>
      </c>
      <c r="K40" s="642">
        <v>0</v>
      </c>
      <c r="L40" s="643"/>
      <c r="M40" s="614"/>
      <c r="N40" s="623"/>
    </row>
    <row r="41" spans="1:14" s="605" customFormat="1" outlineLevel="1" collapsed="1">
      <c r="A41" s="624"/>
      <c r="B41" s="625" t="s">
        <v>736</v>
      </c>
      <c r="C41" s="626" t="s">
        <v>532</v>
      </c>
      <c r="D41" s="627">
        <v>2100200199</v>
      </c>
      <c r="E41" s="619"/>
      <c r="F41" s="620"/>
      <c r="G41" s="619">
        <f t="shared" si="6"/>
        <v>0</v>
      </c>
      <c r="H41" s="628"/>
      <c r="I41" s="628"/>
      <c r="J41" s="628">
        <f t="shared" si="5"/>
        <v>0</v>
      </c>
      <c r="K41" s="642">
        <v>0</v>
      </c>
      <c r="L41" s="643"/>
      <c r="M41" s="614"/>
      <c r="N41" s="623"/>
    </row>
    <row r="42" spans="1:14" s="605" customFormat="1" outlineLevel="1" collapsed="1">
      <c r="A42" s="615"/>
      <c r="B42" s="625" t="s">
        <v>737</v>
      </c>
      <c r="C42" s="617" t="s">
        <v>534</v>
      </c>
      <c r="D42" s="618">
        <v>2100200202</v>
      </c>
      <c r="E42" s="619"/>
      <c r="F42" s="620"/>
      <c r="G42" s="619">
        <f t="shared" si="6"/>
        <v>0</v>
      </c>
      <c r="H42" s="628"/>
      <c r="I42" s="628"/>
      <c r="J42" s="653">
        <f t="shared" si="5"/>
        <v>0</v>
      </c>
      <c r="K42" s="642">
        <v>0</v>
      </c>
      <c r="L42" s="643"/>
      <c r="M42" s="614"/>
      <c r="N42" s="623"/>
    </row>
    <row r="43" spans="1:14" s="605" customFormat="1" outlineLevel="1">
      <c r="A43" s="624"/>
      <c r="B43" s="625" t="s">
        <v>738</v>
      </c>
      <c r="C43" s="626" t="s">
        <v>536</v>
      </c>
      <c r="D43" s="627">
        <v>2100200204</v>
      </c>
      <c r="E43" s="619">
        <v>92500</v>
      </c>
      <c r="F43" s="620"/>
      <c r="G43" s="619">
        <f t="shared" si="6"/>
        <v>92500</v>
      </c>
      <c r="H43" s="628"/>
      <c r="I43" s="628"/>
      <c r="J43" s="628">
        <f t="shared" si="5"/>
        <v>92500</v>
      </c>
      <c r="K43" s="642">
        <v>0</v>
      </c>
      <c r="L43" s="643"/>
      <c r="M43" s="614"/>
      <c r="N43" s="623"/>
    </row>
    <row r="44" spans="1:14" s="605" customFormat="1" outlineLevel="1" collapsed="1">
      <c r="A44" s="624"/>
      <c r="B44" s="625" t="s">
        <v>739</v>
      </c>
      <c r="C44" s="626" t="s">
        <v>538</v>
      </c>
      <c r="D44" s="627">
        <v>2100200206</v>
      </c>
      <c r="E44" s="619"/>
      <c r="F44" s="620"/>
      <c r="G44" s="619">
        <f t="shared" si="6"/>
        <v>0</v>
      </c>
      <c r="H44" s="628"/>
      <c r="I44" s="628"/>
      <c r="J44" s="628">
        <f t="shared" si="5"/>
        <v>0</v>
      </c>
      <c r="K44" s="642">
        <v>0</v>
      </c>
      <c r="L44" s="643"/>
      <c r="M44" s="614"/>
      <c r="N44" s="623"/>
    </row>
    <row r="45" spans="1:14" s="605" customFormat="1" outlineLevel="1" collapsed="1">
      <c r="A45" s="624"/>
      <c r="B45" s="625" t="s">
        <v>740</v>
      </c>
      <c r="C45" s="626" t="s">
        <v>540</v>
      </c>
      <c r="D45" s="627">
        <v>2100200219</v>
      </c>
      <c r="E45" s="619"/>
      <c r="F45" s="620"/>
      <c r="G45" s="619">
        <f t="shared" si="6"/>
        <v>0</v>
      </c>
      <c r="H45" s="628"/>
      <c r="I45" s="628"/>
      <c r="J45" s="628">
        <f t="shared" si="5"/>
        <v>0</v>
      </c>
      <c r="K45" s="642">
        <v>0</v>
      </c>
      <c r="L45" s="643"/>
      <c r="M45" s="614"/>
      <c r="N45" s="623"/>
    </row>
    <row r="46" spans="1:14" s="605" customFormat="1" outlineLevel="1" collapsed="1">
      <c r="A46" s="631"/>
      <c r="B46" s="632" t="s">
        <v>741</v>
      </c>
      <c r="C46" s="633" t="s">
        <v>542</v>
      </c>
      <c r="D46" s="634">
        <v>2100200221</v>
      </c>
      <c r="E46" s="635"/>
      <c r="F46" s="620"/>
      <c r="G46" s="652">
        <f t="shared" si="6"/>
        <v>0</v>
      </c>
      <c r="H46" s="636"/>
      <c r="I46" s="636"/>
      <c r="J46" s="636">
        <f t="shared" si="5"/>
        <v>0</v>
      </c>
      <c r="K46" s="636">
        <v>0</v>
      </c>
      <c r="L46" s="643"/>
      <c r="M46" s="614"/>
      <c r="N46" s="623"/>
    </row>
    <row r="47" spans="1:14" s="605" customFormat="1" outlineLevel="1">
      <c r="A47" s="650"/>
      <c r="B47" s="600" t="s">
        <v>677</v>
      </c>
      <c r="C47" s="661"/>
      <c r="D47" s="599"/>
      <c r="E47" s="638"/>
      <c r="F47" s="620"/>
      <c r="G47" s="603">
        <f>SUM(G48:G55)</f>
        <v>139800</v>
      </c>
      <c r="H47" s="603">
        <f>SUM(H48:H55)</f>
        <v>0</v>
      </c>
      <c r="I47" s="603">
        <f>SUM(I48:I55)</f>
        <v>0</v>
      </c>
      <c r="J47" s="603">
        <f>SUM(J48:J55)</f>
        <v>139800</v>
      </c>
      <c r="K47" s="603">
        <v>0</v>
      </c>
      <c r="L47" s="643"/>
      <c r="M47" s="614"/>
      <c r="N47" s="623"/>
    </row>
    <row r="48" spans="1:14" outlineLevel="1">
      <c r="A48" s="639"/>
      <c r="B48" s="662" t="s">
        <v>742</v>
      </c>
      <c r="C48" s="640" t="s">
        <v>545</v>
      </c>
      <c r="D48" s="641">
        <v>2100200076</v>
      </c>
      <c r="E48" s="619"/>
      <c r="F48" s="620"/>
      <c r="G48" s="619">
        <f>SUM(E48:F48)</f>
        <v>0</v>
      </c>
      <c r="H48" s="621"/>
      <c r="I48" s="621"/>
      <c r="J48" s="642">
        <f t="shared" ref="J48:J55" si="7">G48-H48-I48</f>
        <v>0</v>
      </c>
      <c r="K48" s="642">
        <v>0</v>
      </c>
      <c r="L48" s="643"/>
      <c r="M48" s="614"/>
      <c r="N48" s="623"/>
    </row>
    <row r="49" spans="1:14" s="605" customFormat="1" outlineLevel="1">
      <c r="A49" s="615"/>
      <c r="B49" s="616" t="s">
        <v>743</v>
      </c>
      <c r="C49" s="617" t="s">
        <v>547</v>
      </c>
      <c r="D49" s="618">
        <v>2100200099</v>
      </c>
      <c r="E49" s="619"/>
      <c r="F49" s="620"/>
      <c r="G49" s="619">
        <f t="shared" ref="G49:G55" si="8">SUM(E49:F49)</f>
        <v>0</v>
      </c>
      <c r="H49" s="628"/>
      <c r="I49" s="628"/>
      <c r="J49" s="642">
        <f t="shared" si="7"/>
        <v>0</v>
      </c>
      <c r="K49" s="642">
        <v>0</v>
      </c>
      <c r="L49" s="643"/>
      <c r="M49" s="614"/>
      <c r="N49" s="623"/>
    </row>
    <row r="50" spans="1:14" s="605" customFormat="1" outlineLevel="1" collapsed="1">
      <c r="A50" s="624"/>
      <c r="B50" s="625" t="s">
        <v>744</v>
      </c>
      <c r="C50" s="626" t="s">
        <v>549</v>
      </c>
      <c r="D50" s="627">
        <v>2100200101</v>
      </c>
      <c r="E50" s="649"/>
      <c r="F50" s="659"/>
      <c r="G50" s="619">
        <f t="shared" si="8"/>
        <v>0</v>
      </c>
      <c r="H50" s="628"/>
      <c r="I50" s="628"/>
      <c r="J50" s="628">
        <f t="shared" si="7"/>
        <v>0</v>
      </c>
      <c r="K50" s="628">
        <v>0</v>
      </c>
      <c r="L50" s="643"/>
      <c r="M50" s="614"/>
      <c r="N50" s="623"/>
    </row>
    <row r="51" spans="1:14" s="605" customFormat="1" outlineLevel="1" collapsed="1">
      <c r="A51" s="639"/>
      <c r="B51" s="629" t="s">
        <v>745</v>
      </c>
      <c r="C51" s="640" t="s">
        <v>551</v>
      </c>
      <c r="D51" s="641">
        <v>2100200103</v>
      </c>
      <c r="E51" s="619"/>
      <c r="F51" s="620"/>
      <c r="G51" s="619">
        <f t="shared" si="8"/>
        <v>0</v>
      </c>
      <c r="H51" s="642"/>
      <c r="I51" s="642"/>
      <c r="J51" s="642">
        <f t="shared" si="7"/>
        <v>0</v>
      </c>
      <c r="K51" s="642">
        <v>0</v>
      </c>
      <c r="L51" s="643"/>
      <c r="M51" s="614"/>
      <c r="N51" s="623"/>
    </row>
    <row r="52" spans="1:14" s="605" customFormat="1" outlineLevel="1" collapsed="1">
      <c r="A52" s="615"/>
      <c r="B52" s="629" t="s">
        <v>746</v>
      </c>
      <c r="C52" s="617" t="s">
        <v>553</v>
      </c>
      <c r="D52" s="618">
        <v>2100200105</v>
      </c>
      <c r="E52" s="619"/>
      <c r="F52" s="620"/>
      <c r="G52" s="619">
        <f t="shared" si="8"/>
        <v>0</v>
      </c>
      <c r="H52" s="628"/>
      <c r="I52" s="628"/>
      <c r="J52" s="622">
        <f>G52-H52-I52</f>
        <v>0</v>
      </c>
      <c r="K52" s="642">
        <v>0</v>
      </c>
      <c r="L52" s="643"/>
      <c r="M52" s="614"/>
      <c r="N52" s="623"/>
    </row>
    <row r="53" spans="1:14" outlineLevel="1" collapsed="1">
      <c r="A53" s="624"/>
      <c r="B53" s="616" t="s">
        <v>747</v>
      </c>
      <c r="C53" s="626" t="s">
        <v>748</v>
      </c>
      <c r="D53" s="627">
        <v>2100200107</v>
      </c>
      <c r="E53" s="619"/>
      <c r="F53" s="620"/>
      <c r="G53" s="619">
        <f t="shared" si="8"/>
        <v>0</v>
      </c>
      <c r="H53" s="628"/>
      <c r="I53" s="628"/>
      <c r="J53" s="628">
        <f t="shared" si="7"/>
        <v>0</v>
      </c>
      <c r="K53" s="642">
        <v>0</v>
      </c>
      <c r="L53" s="643"/>
      <c r="M53" s="614"/>
      <c r="N53" s="623"/>
    </row>
    <row r="54" spans="1:14" outlineLevel="1" collapsed="1">
      <c r="A54" s="624"/>
      <c r="B54" s="625" t="s">
        <v>749</v>
      </c>
      <c r="C54" s="626" t="s">
        <v>557</v>
      </c>
      <c r="D54" s="627">
        <v>2100200109</v>
      </c>
      <c r="E54" s="619"/>
      <c r="F54" s="620"/>
      <c r="G54" s="619">
        <f t="shared" si="8"/>
        <v>0</v>
      </c>
      <c r="H54" s="628"/>
      <c r="I54" s="628"/>
      <c r="J54" s="628">
        <f t="shared" si="7"/>
        <v>0</v>
      </c>
      <c r="K54" s="642">
        <v>0</v>
      </c>
      <c r="L54" s="643"/>
      <c r="M54" s="614"/>
      <c r="N54" s="623"/>
    </row>
    <row r="55" spans="1:14" s="605" customFormat="1" outlineLevel="1" collapsed="1">
      <c r="A55" s="631"/>
      <c r="B55" s="632" t="s">
        <v>750</v>
      </c>
      <c r="C55" s="633" t="s">
        <v>559</v>
      </c>
      <c r="D55" s="634">
        <v>2100200113</v>
      </c>
      <c r="E55" s="635">
        <v>139800</v>
      </c>
      <c r="F55" s="663"/>
      <c r="G55" s="619">
        <f t="shared" si="8"/>
        <v>139800</v>
      </c>
      <c r="H55" s="636"/>
      <c r="I55" s="636"/>
      <c r="J55" s="636">
        <f t="shared" si="7"/>
        <v>139800</v>
      </c>
      <c r="K55" s="636">
        <v>0</v>
      </c>
      <c r="L55" s="643"/>
      <c r="M55" s="614"/>
      <c r="N55" s="623"/>
    </row>
    <row r="56" spans="1:14" s="605" customFormat="1" outlineLevel="1" collapsed="1">
      <c r="A56" s="650"/>
      <c r="B56" s="600" t="s">
        <v>678</v>
      </c>
      <c r="C56" s="661"/>
      <c r="D56" s="599"/>
      <c r="E56" s="638"/>
      <c r="F56" s="620"/>
      <c r="G56" s="603">
        <f>SUM(G57:G60)</f>
        <v>0</v>
      </c>
      <c r="H56" s="603">
        <f>SUM(H57:H60)</f>
        <v>0</v>
      </c>
      <c r="I56" s="603">
        <f>SUM(I57:I60)</f>
        <v>0</v>
      </c>
      <c r="J56" s="603">
        <f>SUM(J57:J60)</f>
        <v>0</v>
      </c>
      <c r="K56" s="603">
        <v>0</v>
      </c>
      <c r="L56" s="643"/>
      <c r="M56" s="614"/>
      <c r="N56" s="623"/>
    </row>
    <row r="57" spans="1:14" s="605" customFormat="1" outlineLevel="1">
      <c r="A57" s="639"/>
      <c r="B57" s="629" t="s">
        <v>751</v>
      </c>
      <c r="C57" s="640" t="s">
        <v>562</v>
      </c>
      <c r="D57" s="641">
        <v>2100200133</v>
      </c>
      <c r="E57" s="619"/>
      <c r="F57" s="620"/>
      <c r="G57" s="619">
        <f>SUM(E57:F57)</f>
        <v>0</v>
      </c>
      <c r="H57" s="621"/>
      <c r="I57" s="621"/>
      <c r="J57" s="642">
        <f>G57-H57-I57</f>
        <v>0</v>
      </c>
      <c r="K57" s="642">
        <v>0</v>
      </c>
      <c r="L57" s="643"/>
      <c r="M57" s="614"/>
      <c r="N57" s="623"/>
    </row>
    <row r="58" spans="1:14" s="605" customFormat="1" outlineLevel="1" collapsed="1">
      <c r="A58" s="624"/>
      <c r="B58" s="625" t="s">
        <v>752</v>
      </c>
      <c r="C58" s="626" t="s">
        <v>564</v>
      </c>
      <c r="D58" s="627">
        <v>2100200142</v>
      </c>
      <c r="E58" s="619"/>
      <c r="F58" s="620"/>
      <c r="G58" s="619">
        <f>SUM(E58:F58)</f>
        <v>0</v>
      </c>
      <c r="H58" s="628"/>
      <c r="I58" s="628"/>
      <c r="J58" s="628">
        <f>G58-H58-I58</f>
        <v>0</v>
      </c>
      <c r="K58" s="628">
        <v>0</v>
      </c>
      <c r="L58" s="643"/>
      <c r="M58" s="614"/>
      <c r="N58" s="623"/>
    </row>
    <row r="59" spans="1:14" s="605" customFormat="1" outlineLevel="1" collapsed="1">
      <c r="A59" s="624"/>
      <c r="B59" s="625" t="s">
        <v>753</v>
      </c>
      <c r="C59" s="626" t="s">
        <v>566</v>
      </c>
      <c r="D59" s="627">
        <v>2100200144</v>
      </c>
      <c r="E59" s="619"/>
      <c r="F59" s="620"/>
      <c r="G59" s="619">
        <f>SUM(E59:F59)</f>
        <v>0</v>
      </c>
      <c r="H59" s="628"/>
      <c r="I59" s="628"/>
      <c r="J59" s="628">
        <f>G59-H59-I59</f>
        <v>0</v>
      </c>
      <c r="K59" s="628">
        <v>0</v>
      </c>
      <c r="L59" s="643"/>
      <c r="M59" s="614"/>
      <c r="N59" s="623"/>
    </row>
    <row r="60" spans="1:14" s="605" customFormat="1" outlineLevel="1">
      <c r="A60" s="650"/>
      <c r="B60" s="664" t="s">
        <v>754</v>
      </c>
      <c r="C60" s="601" t="s">
        <v>568</v>
      </c>
      <c r="D60" s="651">
        <v>2100200146</v>
      </c>
      <c r="E60" s="635"/>
      <c r="F60" s="620"/>
      <c r="G60" s="619">
        <f>SUM(E60:F60)</f>
        <v>0</v>
      </c>
      <c r="H60" s="636"/>
      <c r="I60" s="665"/>
      <c r="J60" s="653">
        <f>G60-H60-I60</f>
        <v>0</v>
      </c>
      <c r="K60" s="628">
        <v>0</v>
      </c>
      <c r="L60" s="643"/>
      <c r="M60" s="614"/>
      <c r="N60" s="623"/>
    </row>
    <row r="61" spans="1:14" s="605" customFormat="1" outlineLevel="1" collapsed="1">
      <c r="A61" s="607"/>
      <c r="B61" s="608" t="s">
        <v>755</v>
      </c>
      <c r="C61" s="609"/>
      <c r="D61" s="610"/>
      <c r="E61" s="638"/>
      <c r="F61" s="620"/>
      <c r="G61" s="613">
        <f>SUM(G62:G68)</f>
        <v>449364</v>
      </c>
      <c r="H61" s="613">
        <f>SUM(H62:H68)</f>
        <v>0</v>
      </c>
      <c r="I61" s="613">
        <f>SUM(I62:I68)</f>
        <v>158466.94</v>
      </c>
      <c r="J61" s="613">
        <f>SUM(J62:J68)</f>
        <v>290897.06</v>
      </c>
      <c r="K61" s="613">
        <v>0</v>
      </c>
      <c r="L61" s="643"/>
      <c r="M61" s="614"/>
      <c r="N61" s="623"/>
    </row>
    <row r="62" spans="1:14" s="605" customFormat="1" outlineLevel="1">
      <c r="A62" s="666"/>
      <c r="B62" s="630" t="s">
        <v>756</v>
      </c>
      <c r="C62" s="667" t="s">
        <v>573</v>
      </c>
      <c r="D62" s="668">
        <v>2100200131</v>
      </c>
      <c r="E62" s="619"/>
      <c r="F62" s="620"/>
      <c r="G62" s="649">
        <f>SUM(E62:F62)</f>
        <v>0</v>
      </c>
      <c r="H62" s="621"/>
      <c r="I62" s="621"/>
      <c r="J62" s="628">
        <f t="shared" ref="J62:J67" si="9">G62-H62-I62</f>
        <v>0</v>
      </c>
      <c r="K62" s="653">
        <v>0</v>
      </c>
      <c r="L62" s="643"/>
      <c r="M62" s="614"/>
      <c r="N62" s="623"/>
    </row>
    <row r="63" spans="1:14" s="605" customFormat="1" outlineLevel="1" collapsed="1">
      <c r="A63" s="624"/>
      <c r="B63" s="625" t="s">
        <v>757</v>
      </c>
      <c r="C63" s="626" t="s">
        <v>575</v>
      </c>
      <c r="D63" s="627">
        <v>2100200136</v>
      </c>
      <c r="E63" s="619">
        <v>90000</v>
      </c>
      <c r="F63" s="620"/>
      <c r="G63" s="649">
        <f t="shared" ref="G63:G68" si="10">SUM(E63:F63)</f>
        <v>90000</v>
      </c>
      <c r="H63" s="628"/>
      <c r="I63" s="628">
        <v>34500</v>
      </c>
      <c r="J63" s="628">
        <f t="shared" si="9"/>
        <v>55500</v>
      </c>
      <c r="K63" s="653">
        <v>0</v>
      </c>
      <c r="L63" s="643"/>
      <c r="M63" s="614"/>
      <c r="N63" s="623"/>
    </row>
    <row r="64" spans="1:14" s="605" customFormat="1" outlineLevel="1" collapsed="1">
      <c r="A64" s="624"/>
      <c r="B64" s="630" t="s">
        <v>758</v>
      </c>
      <c r="C64" s="626" t="s">
        <v>577</v>
      </c>
      <c r="D64" s="627">
        <v>2100200138</v>
      </c>
      <c r="E64" s="619">
        <v>81464</v>
      </c>
      <c r="F64" s="620"/>
      <c r="G64" s="649">
        <f t="shared" si="10"/>
        <v>81464</v>
      </c>
      <c r="H64" s="628"/>
      <c r="I64" s="628">
        <v>26166.94</v>
      </c>
      <c r="J64" s="628">
        <f t="shared" si="9"/>
        <v>55297.06</v>
      </c>
      <c r="K64" s="653">
        <v>0</v>
      </c>
      <c r="L64" s="643"/>
      <c r="M64" s="614"/>
      <c r="N64" s="623"/>
    </row>
    <row r="65" spans="1:14" s="605" customFormat="1" outlineLevel="1">
      <c r="A65" s="624"/>
      <c r="B65" s="625" t="s">
        <v>759</v>
      </c>
      <c r="C65" s="626" t="s">
        <v>579</v>
      </c>
      <c r="D65" s="627">
        <v>2100200140</v>
      </c>
      <c r="E65" s="619"/>
      <c r="F65" s="620"/>
      <c r="G65" s="649">
        <f t="shared" si="10"/>
        <v>0</v>
      </c>
      <c r="H65" s="628"/>
      <c r="I65" s="628"/>
      <c r="J65" s="628">
        <f t="shared" si="9"/>
        <v>0</v>
      </c>
      <c r="K65" s="653">
        <v>0</v>
      </c>
      <c r="L65" s="643"/>
      <c r="M65" s="614"/>
      <c r="N65" s="623"/>
    </row>
    <row r="66" spans="1:14" s="605" customFormat="1" outlineLevel="1">
      <c r="A66" s="615"/>
      <c r="B66" s="630" t="s">
        <v>760</v>
      </c>
      <c r="C66" s="617" t="s">
        <v>581</v>
      </c>
      <c r="D66" s="618">
        <v>2100200148</v>
      </c>
      <c r="E66" s="619"/>
      <c r="F66" s="620"/>
      <c r="G66" s="649">
        <f t="shared" si="10"/>
        <v>0</v>
      </c>
      <c r="H66" s="628"/>
      <c r="I66" s="628"/>
      <c r="J66" s="642">
        <f t="shared" si="9"/>
        <v>0</v>
      </c>
      <c r="K66" s="653">
        <v>0</v>
      </c>
      <c r="L66" s="643"/>
      <c r="M66" s="614"/>
      <c r="N66" s="623"/>
    </row>
    <row r="67" spans="1:14" s="605" customFormat="1" outlineLevel="1" collapsed="1">
      <c r="A67" s="624"/>
      <c r="B67" s="625" t="s">
        <v>761</v>
      </c>
      <c r="C67" s="626" t="s">
        <v>583</v>
      </c>
      <c r="D67" s="627">
        <v>2100200150</v>
      </c>
      <c r="E67" s="619">
        <v>184300</v>
      </c>
      <c r="F67" s="620"/>
      <c r="G67" s="649">
        <f t="shared" si="10"/>
        <v>184300</v>
      </c>
      <c r="H67" s="628"/>
      <c r="I67" s="628">
        <v>79800</v>
      </c>
      <c r="J67" s="628">
        <f t="shared" si="9"/>
        <v>104500</v>
      </c>
      <c r="K67" s="653">
        <v>0</v>
      </c>
      <c r="L67" s="643"/>
      <c r="M67" s="614"/>
      <c r="N67" s="623"/>
    </row>
    <row r="68" spans="1:14" s="605" customFormat="1" outlineLevel="1">
      <c r="A68" s="615"/>
      <c r="B68" s="630" t="s">
        <v>762</v>
      </c>
      <c r="C68" s="617" t="s">
        <v>571</v>
      </c>
      <c r="D68" s="618">
        <v>2100200264</v>
      </c>
      <c r="E68" s="635">
        <v>93600</v>
      </c>
      <c r="F68" s="620"/>
      <c r="G68" s="649">
        <f t="shared" si="10"/>
        <v>93600</v>
      </c>
      <c r="H68" s="636"/>
      <c r="I68" s="636">
        <v>18000</v>
      </c>
      <c r="J68" s="622">
        <f>G68-H68-I68</f>
        <v>75600</v>
      </c>
      <c r="K68" s="653">
        <v>0</v>
      </c>
      <c r="L68" s="643"/>
      <c r="M68" s="614"/>
      <c r="N68" s="623"/>
    </row>
    <row r="69" spans="1:14" s="605" customFormat="1" outlineLevel="1" collapsed="1">
      <c r="A69" s="607"/>
      <c r="B69" s="608" t="s">
        <v>680</v>
      </c>
      <c r="C69" s="609"/>
      <c r="D69" s="610"/>
      <c r="E69" s="638"/>
      <c r="F69" s="620"/>
      <c r="G69" s="613">
        <f>SUM(G70:G73)</f>
        <v>0</v>
      </c>
      <c r="H69" s="613">
        <f>SUM(H70:H73)</f>
        <v>0</v>
      </c>
      <c r="I69" s="613">
        <f>SUM(I70:I73)</f>
        <v>0</v>
      </c>
      <c r="J69" s="613">
        <f>SUM(J70:J73)</f>
        <v>0</v>
      </c>
      <c r="K69" s="613">
        <v>0</v>
      </c>
      <c r="L69" s="643"/>
      <c r="M69" s="614"/>
      <c r="N69" s="623"/>
    </row>
    <row r="70" spans="1:14" s="605" customFormat="1" outlineLevel="1">
      <c r="A70" s="615"/>
      <c r="B70" s="616" t="s">
        <v>763</v>
      </c>
      <c r="C70" s="617" t="s">
        <v>586</v>
      </c>
      <c r="D70" s="618">
        <v>2100200115</v>
      </c>
      <c r="E70" s="619"/>
      <c r="F70" s="620"/>
      <c r="G70" s="619">
        <f>SUM(E70:F70)</f>
        <v>0</v>
      </c>
      <c r="H70" s="621"/>
      <c r="I70" s="621"/>
      <c r="J70" s="642">
        <f>+G70-H70-I70</f>
        <v>0</v>
      </c>
      <c r="K70" s="622">
        <v>0</v>
      </c>
      <c r="L70" s="643"/>
      <c r="M70" s="614"/>
      <c r="N70" s="623"/>
    </row>
    <row r="71" spans="1:14" s="605" customFormat="1" outlineLevel="1" collapsed="1">
      <c r="A71" s="624"/>
      <c r="B71" s="625" t="s">
        <v>764</v>
      </c>
      <c r="C71" s="626" t="s">
        <v>588</v>
      </c>
      <c r="D71" s="627">
        <v>2100200117</v>
      </c>
      <c r="E71" s="619"/>
      <c r="F71" s="620"/>
      <c r="G71" s="619">
        <f>SUM(E71:F71)</f>
        <v>0</v>
      </c>
      <c r="H71" s="628"/>
      <c r="I71" s="628"/>
      <c r="J71" s="628">
        <f>+G71-H71-I71</f>
        <v>0</v>
      </c>
      <c r="K71" s="628">
        <v>0</v>
      </c>
      <c r="L71" s="643"/>
      <c r="M71" s="614"/>
      <c r="N71" s="623"/>
    </row>
    <row r="72" spans="1:14" s="605" customFormat="1" outlineLevel="1" collapsed="1">
      <c r="A72" s="624"/>
      <c r="B72" s="625" t="s">
        <v>765</v>
      </c>
      <c r="C72" s="626" t="s">
        <v>590</v>
      </c>
      <c r="D72" s="627">
        <v>2100200119</v>
      </c>
      <c r="E72" s="619"/>
      <c r="F72" s="620"/>
      <c r="G72" s="619">
        <f>SUM(E72:F72)</f>
        <v>0</v>
      </c>
      <c r="H72" s="628"/>
      <c r="I72" s="628"/>
      <c r="J72" s="628">
        <f>+G72-H72-I72</f>
        <v>0</v>
      </c>
      <c r="K72" s="628">
        <v>0</v>
      </c>
      <c r="L72" s="643"/>
      <c r="M72" s="614"/>
      <c r="N72" s="623"/>
    </row>
    <row r="73" spans="1:14" s="605" customFormat="1" outlineLevel="1" collapsed="1">
      <c r="A73" s="650"/>
      <c r="B73" s="664" t="s">
        <v>766</v>
      </c>
      <c r="C73" s="601" t="s">
        <v>592</v>
      </c>
      <c r="D73" s="651">
        <v>2100200127</v>
      </c>
      <c r="E73" s="635"/>
      <c r="F73" s="620"/>
      <c r="G73" s="619">
        <f>SUM(E73:F73)</f>
        <v>0</v>
      </c>
      <c r="H73" s="636"/>
      <c r="I73" s="636"/>
      <c r="J73" s="653">
        <f>+G73-H73-I73</f>
        <v>0</v>
      </c>
      <c r="K73" s="669">
        <v>0</v>
      </c>
      <c r="L73" s="643"/>
      <c r="M73" s="614"/>
      <c r="N73" s="623"/>
    </row>
    <row r="74" spans="1:14" s="605" customFormat="1" outlineLevel="1" collapsed="1">
      <c r="A74" s="607"/>
      <c r="B74" s="608" t="s">
        <v>681</v>
      </c>
      <c r="C74" s="609"/>
      <c r="D74" s="610"/>
      <c r="E74" s="638"/>
      <c r="F74" s="620"/>
      <c r="G74" s="613">
        <f>SUM(G75:G79)</f>
        <v>337440</v>
      </c>
      <c r="H74" s="613">
        <f>SUM(H75:H79)</f>
        <v>7800</v>
      </c>
      <c r="I74" s="613">
        <f>SUM(I75:I79)</f>
        <v>36243.589999999997</v>
      </c>
      <c r="J74" s="613">
        <f>SUM(J75:J79)</f>
        <v>293396.41000000003</v>
      </c>
      <c r="K74" s="613">
        <v>0</v>
      </c>
      <c r="L74" s="643"/>
      <c r="M74" s="614"/>
      <c r="N74" s="623"/>
    </row>
    <row r="75" spans="1:14" s="605" customFormat="1" outlineLevel="1">
      <c r="A75" s="615"/>
      <c r="B75" s="616" t="s">
        <v>767</v>
      </c>
      <c r="C75" s="617" t="s">
        <v>595</v>
      </c>
      <c r="D75" s="618">
        <v>2100200121</v>
      </c>
      <c r="E75" s="619"/>
      <c r="F75" s="620"/>
      <c r="G75" s="619">
        <f>SUM(E75:F75)</f>
        <v>0</v>
      </c>
      <c r="H75" s="621"/>
      <c r="I75" s="621"/>
      <c r="J75" s="642">
        <f>G75-H75-I75</f>
        <v>0</v>
      </c>
      <c r="K75" s="622">
        <v>0</v>
      </c>
      <c r="L75" s="643"/>
      <c r="M75" s="614"/>
      <c r="N75" s="623"/>
    </row>
    <row r="76" spans="1:14" s="605" customFormat="1" outlineLevel="1" collapsed="1">
      <c r="A76" s="624"/>
      <c r="B76" s="625" t="s">
        <v>768</v>
      </c>
      <c r="C76" s="626" t="s">
        <v>597</v>
      </c>
      <c r="D76" s="627">
        <v>2100200123</v>
      </c>
      <c r="E76" s="619">
        <v>230720</v>
      </c>
      <c r="F76" s="620"/>
      <c r="G76" s="619">
        <f>SUM(E76:F76)</f>
        <v>230720</v>
      </c>
      <c r="H76" s="628">
        <v>7800</v>
      </c>
      <c r="I76" s="628">
        <v>4243.59</v>
      </c>
      <c r="J76" s="628">
        <f>G76-H76-I76</f>
        <v>218676.41</v>
      </c>
      <c r="K76" s="628">
        <v>0</v>
      </c>
      <c r="L76" s="643"/>
      <c r="M76" s="614"/>
      <c r="N76" s="623"/>
    </row>
    <row r="77" spans="1:14" s="605" customFormat="1" outlineLevel="1" collapsed="1">
      <c r="A77" s="624"/>
      <c r="B77" s="625" t="s">
        <v>769</v>
      </c>
      <c r="C77" s="626" t="s">
        <v>599</v>
      </c>
      <c r="D77" s="627">
        <v>2100200125</v>
      </c>
      <c r="E77" s="619"/>
      <c r="F77" s="620"/>
      <c r="G77" s="619">
        <f>SUM(E77:F77)</f>
        <v>0</v>
      </c>
      <c r="H77" s="628"/>
      <c r="I77" s="628"/>
      <c r="J77" s="628">
        <f>G77-H77-I77</f>
        <v>0</v>
      </c>
      <c r="K77" s="628">
        <v>0</v>
      </c>
      <c r="L77" s="643"/>
      <c r="M77" s="614"/>
      <c r="N77" s="623"/>
    </row>
    <row r="78" spans="1:14" s="605" customFormat="1" outlineLevel="1">
      <c r="A78" s="615"/>
      <c r="B78" s="625" t="s">
        <v>770</v>
      </c>
      <c r="C78" s="617" t="s">
        <v>601</v>
      </c>
      <c r="D78" s="618">
        <v>2100200129</v>
      </c>
      <c r="E78" s="619"/>
      <c r="F78" s="620"/>
      <c r="G78" s="619">
        <f>SUM(E78:F78)</f>
        <v>0</v>
      </c>
      <c r="H78" s="628"/>
      <c r="I78" s="628"/>
      <c r="J78" s="653">
        <f>G78-H78-I78</f>
        <v>0</v>
      </c>
      <c r="K78" s="622">
        <v>0</v>
      </c>
      <c r="L78" s="643"/>
      <c r="M78" s="614"/>
      <c r="N78" s="623"/>
    </row>
    <row r="79" spans="1:14" s="605" customFormat="1" outlineLevel="1">
      <c r="A79" s="631"/>
      <c r="B79" s="632" t="s">
        <v>771</v>
      </c>
      <c r="C79" s="633" t="s">
        <v>603</v>
      </c>
      <c r="D79" s="634">
        <v>2100200152</v>
      </c>
      <c r="E79" s="635">
        <v>106720</v>
      </c>
      <c r="F79" s="620"/>
      <c r="G79" s="619">
        <f>SUM(E79:F79)</f>
        <v>106720</v>
      </c>
      <c r="H79" s="636"/>
      <c r="I79" s="636">
        <v>32000</v>
      </c>
      <c r="J79" s="636">
        <f>G79-H79-I79</f>
        <v>74720</v>
      </c>
      <c r="K79" s="636">
        <v>0</v>
      </c>
      <c r="L79" s="643"/>
      <c r="M79" s="614"/>
      <c r="N79" s="623"/>
    </row>
    <row r="80" spans="1:14" s="605" customFormat="1" outlineLevel="1">
      <c r="A80" s="650"/>
      <c r="B80" s="600" t="s">
        <v>682</v>
      </c>
      <c r="C80" s="661"/>
      <c r="D80" s="599"/>
      <c r="E80" s="638"/>
      <c r="F80" s="620"/>
      <c r="G80" s="603">
        <f>SUM(G81:G87)</f>
        <v>383960</v>
      </c>
      <c r="H80" s="603">
        <f>SUM(H81:H87)</f>
        <v>0</v>
      </c>
      <c r="I80" s="603">
        <f>SUM(I81:I87)</f>
        <v>0</v>
      </c>
      <c r="J80" s="603">
        <f>SUM(J81:J87)</f>
        <v>383960</v>
      </c>
      <c r="K80" s="603">
        <v>0</v>
      </c>
      <c r="L80" s="643"/>
      <c r="M80" s="614"/>
      <c r="N80" s="623"/>
    </row>
    <row r="81" spans="1:14" s="605" customFormat="1" outlineLevel="1">
      <c r="A81" s="615"/>
      <c r="B81" s="616" t="s">
        <v>772</v>
      </c>
      <c r="C81" s="617" t="s">
        <v>606</v>
      </c>
      <c r="D81" s="618">
        <v>2100200223</v>
      </c>
      <c r="E81" s="619"/>
      <c r="F81" s="620"/>
      <c r="G81" s="648">
        <f>SUM(E81:F81)</f>
        <v>0</v>
      </c>
      <c r="H81" s="621"/>
      <c r="I81" s="621"/>
      <c r="J81" s="622">
        <f>G81-H81-I81</f>
        <v>0</v>
      </c>
      <c r="K81" s="622">
        <v>0</v>
      </c>
      <c r="L81" s="643"/>
      <c r="M81" s="614"/>
      <c r="N81" s="623"/>
    </row>
    <row r="82" spans="1:14" s="605" customFormat="1" outlineLevel="1">
      <c r="A82" s="624"/>
      <c r="B82" s="625" t="s">
        <v>773</v>
      </c>
      <c r="C82" s="626" t="s">
        <v>608</v>
      </c>
      <c r="D82" s="627">
        <v>2100200225</v>
      </c>
      <c r="E82" s="619">
        <v>118000</v>
      </c>
      <c r="F82" s="620"/>
      <c r="G82" s="649">
        <f t="shared" ref="G82:G87" si="11">SUM(E82:F82)</f>
        <v>118000</v>
      </c>
      <c r="H82" s="628"/>
      <c r="I82" s="628"/>
      <c r="J82" s="628">
        <f t="shared" ref="J82:J87" si="12">G82-H82-I82</f>
        <v>118000</v>
      </c>
      <c r="K82" s="628">
        <v>0</v>
      </c>
      <c r="L82" s="643"/>
      <c r="M82" s="614"/>
      <c r="N82" s="623"/>
    </row>
    <row r="83" spans="1:14" s="605" customFormat="1" outlineLevel="1" collapsed="1">
      <c r="A83" s="624"/>
      <c r="B83" s="625" t="s">
        <v>774</v>
      </c>
      <c r="C83" s="626" t="s">
        <v>610</v>
      </c>
      <c r="D83" s="627">
        <v>2100200227</v>
      </c>
      <c r="E83" s="619"/>
      <c r="F83" s="620"/>
      <c r="G83" s="649">
        <f t="shared" si="11"/>
        <v>0</v>
      </c>
      <c r="H83" s="628"/>
      <c r="I83" s="628"/>
      <c r="J83" s="628">
        <f t="shared" si="12"/>
        <v>0</v>
      </c>
      <c r="K83" s="628">
        <v>0</v>
      </c>
      <c r="L83" s="643"/>
      <c r="M83" s="614"/>
      <c r="N83" s="623"/>
    </row>
    <row r="84" spans="1:14" s="605" customFormat="1" outlineLevel="1" collapsed="1">
      <c r="A84" s="624"/>
      <c r="B84" s="625" t="s">
        <v>775</v>
      </c>
      <c r="C84" s="626" t="s">
        <v>612</v>
      </c>
      <c r="D84" s="627">
        <v>2100200230</v>
      </c>
      <c r="E84" s="619"/>
      <c r="F84" s="620"/>
      <c r="G84" s="649">
        <f t="shared" si="11"/>
        <v>0</v>
      </c>
      <c r="H84" s="628"/>
      <c r="I84" s="628"/>
      <c r="J84" s="628">
        <f>G84-H84-I84</f>
        <v>0</v>
      </c>
      <c r="K84" s="628">
        <v>0</v>
      </c>
      <c r="L84" s="643"/>
      <c r="M84" s="614"/>
      <c r="N84" s="623"/>
    </row>
    <row r="85" spans="1:14" s="605" customFormat="1" outlineLevel="1" collapsed="1">
      <c r="A85" s="624"/>
      <c r="B85" s="625" t="s">
        <v>776</v>
      </c>
      <c r="C85" s="626" t="s">
        <v>614</v>
      </c>
      <c r="D85" s="627">
        <v>2100200232</v>
      </c>
      <c r="E85" s="619">
        <v>131000</v>
      </c>
      <c r="F85" s="620"/>
      <c r="G85" s="649">
        <f t="shared" si="11"/>
        <v>131000</v>
      </c>
      <c r="H85" s="628"/>
      <c r="I85" s="628"/>
      <c r="J85" s="628">
        <f t="shared" si="12"/>
        <v>131000</v>
      </c>
      <c r="K85" s="628">
        <v>0</v>
      </c>
      <c r="L85" s="643"/>
      <c r="M85" s="614"/>
      <c r="N85" s="623"/>
    </row>
    <row r="86" spans="1:14" s="605" customFormat="1" outlineLevel="1" collapsed="1">
      <c r="A86" s="624"/>
      <c r="B86" s="625" t="s">
        <v>777</v>
      </c>
      <c r="C86" s="626" t="s">
        <v>616</v>
      </c>
      <c r="D86" s="627">
        <v>2100200235</v>
      </c>
      <c r="E86" s="619">
        <v>134960</v>
      </c>
      <c r="F86" s="620"/>
      <c r="G86" s="649">
        <f t="shared" si="11"/>
        <v>134960</v>
      </c>
      <c r="H86" s="628"/>
      <c r="I86" s="628"/>
      <c r="J86" s="628">
        <f t="shared" si="12"/>
        <v>134960</v>
      </c>
      <c r="K86" s="628">
        <v>0</v>
      </c>
      <c r="L86" s="643"/>
      <c r="M86" s="614"/>
      <c r="N86" s="623"/>
    </row>
    <row r="87" spans="1:14" s="605" customFormat="1" outlineLevel="1">
      <c r="A87" s="631"/>
      <c r="B87" s="632" t="s">
        <v>778</v>
      </c>
      <c r="C87" s="633" t="s">
        <v>618</v>
      </c>
      <c r="D87" s="634">
        <v>2100200237</v>
      </c>
      <c r="E87" s="635"/>
      <c r="F87" s="620"/>
      <c r="G87" s="652">
        <f t="shared" si="11"/>
        <v>0</v>
      </c>
      <c r="H87" s="636"/>
      <c r="I87" s="636"/>
      <c r="J87" s="636">
        <f t="shared" si="12"/>
        <v>0</v>
      </c>
      <c r="K87" s="628">
        <v>0</v>
      </c>
      <c r="L87" s="643"/>
      <c r="M87" s="614"/>
      <c r="N87" s="623"/>
    </row>
    <row r="88" spans="1:14" s="605" customFormat="1" outlineLevel="1" collapsed="1">
      <c r="A88" s="607"/>
      <c r="B88" s="608" t="s">
        <v>683</v>
      </c>
      <c r="C88" s="609"/>
      <c r="D88" s="610"/>
      <c r="E88" s="638"/>
      <c r="F88" s="620"/>
      <c r="G88" s="670">
        <f>SUM(G89:G95)</f>
        <v>377370</v>
      </c>
      <c r="H88" s="613">
        <f>SUM(H89:H95)</f>
        <v>0</v>
      </c>
      <c r="I88" s="613">
        <f>SUM(I89:I95)</f>
        <v>34902.79</v>
      </c>
      <c r="J88" s="613">
        <f>SUM(J89:J95)</f>
        <v>342467.20999999996</v>
      </c>
      <c r="K88" s="613">
        <v>0</v>
      </c>
      <c r="L88" s="643"/>
      <c r="M88" s="614"/>
      <c r="N88" s="623"/>
    </row>
    <row r="89" spans="1:14" s="605" customFormat="1" outlineLevel="1">
      <c r="A89" s="639"/>
      <c r="B89" s="629" t="s">
        <v>779</v>
      </c>
      <c r="C89" s="640" t="s">
        <v>621</v>
      </c>
      <c r="D89" s="641">
        <v>2100200239</v>
      </c>
      <c r="E89" s="619"/>
      <c r="F89" s="620"/>
      <c r="G89" s="619">
        <f>SUM(E89:F89)</f>
        <v>0</v>
      </c>
      <c r="H89" s="642"/>
      <c r="I89" s="621"/>
      <c r="J89" s="642">
        <f t="shared" ref="J89:J95" si="13">G89-H89-I89</f>
        <v>0</v>
      </c>
      <c r="K89" s="642">
        <v>0</v>
      </c>
      <c r="L89" s="643"/>
      <c r="M89" s="614"/>
      <c r="N89" s="623"/>
    </row>
    <row r="90" spans="1:14" s="605" customFormat="1" outlineLevel="1" collapsed="1">
      <c r="A90" s="624"/>
      <c r="B90" s="625" t="s">
        <v>780</v>
      </c>
      <c r="C90" s="626" t="s">
        <v>623</v>
      </c>
      <c r="D90" s="627">
        <v>2100200242</v>
      </c>
      <c r="E90" s="619">
        <v>112100</v>
      </c>
      <c r="F90" s="620"/>
      <c r="G90" s="619">
        <f t="shared" ref="G90:G95" si="14">SUM(E90:F90)</f>
        <v>112100</v>
      </c>
      <c r="H90" s="642"/>
      <c r="I90" s="628">
        <v>34902.79</v>
      </c>
      <c r="J90" s="628">
        <f t="shared" si="13"/>
        <v>77197.209999999992</v>
      </c>
      <c r="K90" s="628">
        <v>0</v>
      </c>
      <c r="L90" s="643"/>
      <c r="M90" s="614"/>
      <c r="N90" s="623"/>
    </row>
    <row r="91" spans="1:14" s="605" customFormat="1" outlineLevel="1">
      <c r="A91" s="666"/>
      <c r="B91" s="630" t="s">
        <v>781</v>
      </c>
      <c r="C91" s="667" t="s">
        <v>625</v>
      </c>
      <c r="D91" s="668">
        <v>2100200244</v>
      </c>
      <c r="E91" s="619">
        <v>20000</v>
      </c>
      <c r="F91" s="620"/>
      <c r="G91" s="619">
        <f t="shared" si="14"/>
        <v>20000</v>
      </c>
      <c r="H91" s="642"/>
      <c r="I91" s="628"/>
      <c r="J91" s="653">
        <f t="shared" si="13"/>
        <v>20000</v>
      </c>
      <c r="K91" s="653">
        <v>0</v>
      </c>
      <c r="L91" s="643"/>
      <c r="M91" s="614"/>
      <c r="N91" s="623"/>
    </row>
    <row r="92" spans="1:14" s="605" customFormat="1" outlineLevel="1" collapsed="1">
      <c r="A92" s="624"/>
      <c r="B92" s="625" t="s">
        <v>782</v>
      </c>
      <c r="C92" s="626" t="s">
        <v>627</v>
      </c>
      <c r="D92" s="627">
        <v>2100200246</v>
      </c>
      <c r="E92" s="619"/>
      <c r="F92" s="620"/>
      <c r="G92" s="619">
        <f t="shared" si="14"/>
        <v>0</v>
      </c>
      <c r="H92" s="642"/>
      <c r="I92" s="628"/>
      <c r="J92" s="628">
        <f t="shared" si="13"/>
        <v>0</v>
      </c>
      <c r="K92" s="628">
        <v>0</v>
      </c>
      <c r="L92" s="643"/>
      <c r="M92" s="614"/>
      <c r="N92" s="623"/>
    </row>
    <row r="93" spans="1:14" s="605" customFormat="1" ht="17.25" customHeight="1" outlineLevel="1" collapsed="1">
      <c r="A93" s="671"/>
      <c r="B93" s="630" t="s">
        <v>783</v>
      </c>
      <c r="C93" s="640" t="s">
        <v>629</v>
      </c>
      <c r="D93" s="641">
        <v>2100200248</v>
      </c>
      <c r="E93" s="619"/>
      <c r="F93" s="620"/>
      <c r="G93" s="619">
        <f t="shared" si="14"/>
        <v>0</v>
      </c>
      <c r="H93" s="642"/>
      <c r="I93" s="628"/>
      <c r="J93" s="642">
        <f>G93-H93-I93</f>
        <v>0</v>
      </c>
      <c r="K93" s="642">
        <v>0</v>
      </c>
      <c r="L93" s="643"/>
      <c r="M93" s="614"/>
      <c r="N93" s="623"/>
    </row>
    <row r="94" spans="1:14" s="605" customFormat="1" outlineLevel="1" collapsed="1">
      <c r="A94" s="624"/>
      <c r="B94" s="625" t="s">
        <v>784</v>
      </c>
      <c r="C94" s="626" t="s">
        <v>631</v>
      </c>
      <c r="D94" s="627">
        <v>2100200250</v>
      </c>
      <c r="E94" s="619">
        <v>82990</v>
      </c>
      <c r="F94" s="620"/>
      <c r="G94" s="619">
        <f t="shared" si="14"/>
        <v>82990</v>
      </c>
      <c r="H94" s="642"/>
      <c r="I94" s="628"/>
      <c r="J94" s="628">
        <f t="shared" si="13"/>
        <v>82990</v>
      </c>
      <c r="K94" s="628">
        <v>0</v>
      </c>
      <c r="L94" s="643"/>
      <c r="M94" s="614"/>
      <c r="N94" s="623"/>
    </row>
    <row r="95" spans="1:14" s="673" customFormat="1" outlineLevel="1" collapsed="1">
      <c r="A95" s="672"/>
      <c r="B95" s="632" t="s">
        <v>785</v>
      </c>
      <c r="C95" s="633" t="s">
        <v>633</v>
      </c>
      <c r="D95" s="634">
        <v>2100200253</v>
      </c>
      <c r="E95" s="635">
        <v>162280</v>
      </c>
      <c r="F95" s="620"/>
      <c r="G95" s="652">
        <f t="shared" si="14"/>
        <v>162280</v>
      </c>
      <c r="H95" s="636"/>
      <c r="I95" s="636"/>
      <c r="J95" s="636">
        <f t="shared" si="13"/>
        <v>162280</v>
      </c>
      <c r="K95" s="636">
        <v>0</v>
      </c>
      <c r="L95" s="643"/>
      <c r="M95" s="614"/>
      <c r="N95" s="623"/>
    </row>
    <row r="96" spans="1:14" s="605" customFormat="1" outlineLevel="1">
      <c r="A96" s="674"/>
      <c r="B96" s="608" t="s">
        <v>786</v>
      </c>
      <c r="C96" s="609"/>
      <c r="D96" s="654"/>
      <c r="E96" s="675"/>
      <c r="F96" s="676"/>
      <c r="G96" s="613">
        <f>SUM(G97:G99)</f>
        <v>600000</v>
      </c>
      <c r="H96" s="613">
        <f>SUM(H97:H99)</f>
        <v>0</v>
      </c>
      <c r="I96" s="613">
        <f>SUM(I97:I99)</f>
        <v>0</v>
      </c>
      <c r="J96" s="613">
        <f>SUM(J97:J99)</f>
        <v>600000</v>
      </c>
      <c r="K96" s="613">
        <f>I96*100/G96</f>
        <v>0</v>
      </c>
      <c r="L96" s="643"/>
      <c r="M96" s="614"/>
      <c r="N96" s="623"/>
    </row>
    <row r="97" spans="1:14" s="605" customFormat="1" outlineLevel="1">
      <c r="A97" s="677"/>
      <c r="B97" s="678" t="s">
        <v>787</v>
      </c>
      <c r="C97" s="679" t="s">
        <v>788</v>
      </c>
      <c r="D97" s="680">
        <v>2100200019</v>
      </c>
      <c r="E97" s="675"/>
      <c r="F97" s="676">
        <v>600000</v>
      </c>
      <c r="G97" s="638">
        <f>SUM(E97:F97)</f>
        <v>600000</v>
      </c>
      <c r="H97" s="681"/>
      <c r="I97" s="681"/>
      <c r="J97" s="642">
        <f>G97-H97-I97</f>
        <v>600000</v>
      </c>
      <c r="K97" s="681">
        <f>I97*100/G97</f>
        <v>0</v>
      </c>
      <c r="L97" s="682" t="s">
        <v>789</v>
      </c>
      <c r="M97" s="614"/>
      <c r="N97" s="623"/>
    </row>
    <row r="98" spans="1:14" s="605" customFormat="1" hidden="1" outlineLevel="1">
      <c r="A98" s="639"/>
      <c r="B98" s="660" t="s">
        <v>790</v>
      </c>
      <c r="C98" s="640" t="s">
        <v>791</v>
      </c>
      <c r="D98" s="641">
        <v>2100200120</v>
      </c>
      <c r="E98" s="683"/>
      <c r="F98" s="684"/>
      <c r="G98" s="619">
        <f>SUM(E98:F98)</f>
        <v>0</v>
      </c>
      <c r="H98" s="642"/>
      <c r="I98" s="642"/>
      <c r="J98" s="642"/>
      <c r="K98" s="642" t="e">
        <f>I98*100/G98</f>
        <v>#DIV/0!</v>
      </c>
      <c r="L98" s="643"/>
      <c r="M98" s="614"/>
      <c r="N98" s="623"/>
    </row>
    <row r="99" spans="1:14" s="605" customFormat="1" hidden="1" outlineLevel="2">
      <c r="A99" s="631"/>
      <c r="B99" s="685" t="s">
        <v>792</v>
      </c>
      <c r="C99" s="633" t="s">
        <v>793</v>
      </c>
      <c r="D99" s="634">
        <v>2100200143</v>
      </c>
      <c r="E99" s="686"/>
      <c r="F99" s="687"/>
      <c r="G99" s="652">
        <f>SUM(E99:F99)</f>
        <v>0</v>
      </c>
      <c r="H99" s="636"/>
      <c r="I99" s="636"/>
      <c r="J99" s="636"/>
      <c r="K99" s="636" t="e">
        <f>I99*100/G99</f>
        <v>#DIV/0!</v>
      </c>
      <c r="L99" s="643"/>
      <c r="M99" s="614"/>
      <c r="N99" s="623"/>
    </row>
    <row r="100" spans="1:14" s="605" customFormat="1" ht="15.75" customHeight="1" outlineLevel="1" collapsed="1">
      <c r="A100" s="599">
        <v>2</v>
      </c>
      <c r="B100" s="1131" t="s">
        <v>685</v>
      </c>
      <c r="C100" s="1131"/>
      <c r="D100" s="688"/>
      <c r="E100" s="675"/>
      <c r="F100" s="689"/>
      <c r="G100" s="603">
        <f>+G101+G118+G119+G120+G122+G123</f>
        <v>900000</v>
      </c>
      <c r="H100" s="603">
        <f>+H101+H118+H119+H120+H122+H123</f>
        <v>0</v>
      </c>
      <c r="I100" s="603">
        <f>+I101+I118+I119+I120+I122+I123</f>
        <v>0</v>
      </c>
      <c r="J100" s="603">
        <f>+J101+J118+J119+J120+J122+J123</f>
        <v>900000</v>
      </c>
      <c r="K100" s="603">
        <f>+I100*100/G100</f>
        <v>0</v>
      </c>
      <c r="L100" s="643"/>
      <c r="M100" s="614"/>
      <c r="N100" s="623"/>
    </row>
    <row r="101" spans="1:14" s="673" customFormat="1" ht="15.75" hidden="1" customHeight="1" outlineLevel="1">
      <c r="A101" s="690"/>
      <c r="B101" s="691">
        <v>2.1</v>
      </c>
      <c r="C101" s="692" t="s">
        <v>794</v>
      </c>
      <c r="D101" s="693">
        <v>2100600000</v>
      </c>
      <c r="E101" s="694"/>
      <c r="F101" s="695">
        <v>0</v>
      </c>
      <c r="G101" s="648">
        <f>SUM(E101:F101)</f>
        <v>0</v>
      </c>
      <c r="H101" s="648"/>
      <c r="I101" s="648">
        <f>SUM(I102:I117)</f>
        <v>0</v>
      </c>
      <c r="J101" s="648">
        <f>+G101-H101-I101</f>
        <v>0</v>
      </c>
      <c r="K101" s="694" t="e">
        <f>I101*100/G101</f>
        <v>#DIV/0!</v>
      </c>
      <c r="L101" s="643"/>
      <c r="M101" s="614"/>
      <c r="N101" s="623"/>
    </row>
    <row r="102" spans="1:14" s="673" customFormat="1" hidden="1" outlineLevel="1">
      <c r="A102" s="696"/>
      <c r="B102" s="697"/>
      <c r="C102" s="640" t="s">
        <v>795</v>
      </c>
      <c r="D102" s="641">
        <v>2100600000</v>
      </c>
      <c r="E102" s="683"/>
      <c r="F102" s="684"/>
      <c r="G102" s="648">
        <f t="shared" ref="G102:G118" si="15">SUM(E102:F102)</f>
        <v>0</v>
      </c>
      <c r="H102" s="642">
        <v>0</v>
      </c>
      <c r="I102" s="683"/>
      <c r="J102" s="683">
        <f>G102-H102-I102</f>
        <v>0</v>
      </c>
      <c r="K102" s="683">
        <v>0</v>
      </c>
      <c r="L102" s="643"/>
      <c r="M102" s="614"/>
      <c r="N102" s="623"/>
    </row>
    <row r="103" spans="1:14" s="673" customFormat="1" hidden="1" outlineLevel="1">
      <c r="A103" s="698"/>
      <c r="B103" s="699"/>
      <c r="C103" s="626" t="s">
        <v>796</v>
      </c>
      <c r="D103" s="700">
        <v>2100600017</v>
      </c>
      <c r="E103" s="683"/>
      <c r="F103" s="701"/>
      <c r="G103" s="648">
        <f t="shared" si="15"/>
        <v>0</v>
      </c>
      <c r="H103" s="628">
        <v>0</v>
      </c>
      <c r="I103" s="702"/>
      <c r="J103" s="702">
        <f>G103-H103-I103</f>
        <v>0</v>
      </c>
      <c r="K103" s="702">
        <v>0</v>
      </c>
      <c r="L103" s="643"/>
      <c r="M103" s="614"/>
      <c r="N103" s="623"/>
    </row>
    <row r="104" spans="1:14" s="673" customFormat="1" hidden="1" outlineLevel="2">
      <c r="A104" s="698"/>
      <c r="B104" s="699"/>
      <c r="C104" s="626" t="s">
        <v>797</v>
      </c>
      <c r="D104" s="700">
        <v>2100600018</v>
      </c>
      <c r="E104" s="683"/>
      <c r="F104" s="701"/>
      <c r="G104" s="648">
        <f t="shared" si="15"/>
        <v>0</v>
      </c>
      <c r="H104" s="628">
        <v>0</v>
      </c>
      <c r="I104" s="702"/>
      <c r="J104" s="702">
        <f t="shared" ref="J104:J125" si="16">G104-H104-I104</f>
        <v>0</v>
      </c>
      <c r="K104" s="702">
        <v>0</v>
      </c>
      <c r="L104" s="643"/>
      <c r="M104" s="614"/>
      <c r="N104" s="623"/>
    </row>
    <row r="105" spans="1:14" s="673" customFormat="1" hidden="1" outlineLevel="2">
      <c r="A105" s="698"/>
      <c r="B105" s="699"/>
      <c r="C105" s="626" t="s">
        <v>798</v>
      </c>
      <c r="D105" s="700">
        <v>2100600019</v>
      </c>
      <c r="E105" s="683"/>
      <c r="F105" s="701"/>
      <c r="G105" s="648">
        <f t="shared" si="15"/>
        <v>0</v>
      </c>
      <c r="H105" s="628">
        <v>0</v>
      </c>
      <c r="I105" s="702"/>
      <c r="J105" s="702">
        <f t="shared" si="16"/>
        <v>0</v>
      </c>
      <c r="K105" s="702">
        <v>0</v>
      </c>
      <c r="L105" s="643"/>
      <c r="M105" s="614"/>
      <c r="N105" s="623"/>
    </row>
    <row r="106" spans="1:14" s="673" customFormat="1" hidden="1" outlineLevel="1">
      <c r="A106" s="698"/>
      <c r="B106" s="699"/>
      <c r="C106" s="626" t="s">
        <v>799</v>
      </c>
      <c r="D106" s="700">
        <v>2100600020</v>
      </c>
      <c r="E106" s="683"/>
      <c r="F106" s="701"/>
      <c r="G106" s="648">
        <f t="shared" si="15"/>
        <v>0</v>
      </c>
      <c r="H106" s="628">
        <v>0</v>
      </c>
      <c r="I106" s="702"/>
      <c r="J106" s="702">
        <f t="shared" si="16"/>
        <v>0</v>
      </c>
      <c r="K106" s="702">
        <v>0</v>
      </c>
      <c r="L106" s="643"/>
      <c r="M106" s="614"/>
      <c r="N106" s="623"/>
    </row>
    <row r="107" spans="1:14" s="673" customFormat="1" hidden="1" outlineLevel="2">
      <c r="A107" s="698"/>
      <c r="B107" s="699"/>
      <c r="C107" s="626" t="s">
        <v>800</v>
      </c>
      <c r="D107" s="700">
        <v>2100600021</v>
      </c>
      <c r="E107" s="683"/>
      <c r="F107" s="701"/>
      <c r="G107" s="648">
        <f t="shared" si="15"/>
        <v>0</v>
      </c>
      <c r="H107" s="628">
        <v>0</v>
      </c>
      <c r="I107" s="702"/>
      <c r="J107" s="702">
        <f t="shared" si="16"/>
        <v>0</v>
      </c>
      <c r="K107" s="702">
        <v>0</v>
      </c>
      <c r="L107" s="643"/>
      <c r="M107" s="614"/>
      <c r="N107" s="623"/>
    </row>
    <row r="108" spans="1:14" s="673" customFormat="1" hidden="1" outlineLevel="1">
      <c r="A108" s="698"/>
      <c r="B108" s="699"/>
      <c r="C108" s="626" t="s">
        <v>801</v>
      </c>
      <c r="D108" s="700">
        <v>2100600022</v>
      </c>
      <c r="E108" s="683"/>
      <c r="F108" s="701"/>
      <c r="G108" s="648">
        <f t="shared" si="15"/>
        <v>0</v>
      </c>
      <c r="H108" s="628">
        <v>0</v>
      </c>
      <c r="I108" s="702"/>
      <c r="J108" s="702">
        <f t="shared" si="16"/>
        <v>0</v>
      </c>
      <c r="K108" s="702">
        <v>0</v>
      </c>
      <c r="L108" s="643"/>
      <c r="M108" s="614"/>
      <c r="N108" s="623"/>
    </row>
    <row r="109" spans="1:14" s="673" customFormat="1" hidden="1" outlineLevel="1">
      <c r="A109" s="696"/>
      <c r="B109" s="697"/>
      <c r="C109" s="640" t="s">
        <v>802</v>
      </c>
      <c r="D109" s="700">
        <v>2100600023</v>
      </c>
      <c r="E109" s="683"/>
      <c r="F109" s="684"/>
      <c r="G109" s="648">
        <f t="shared" si="15"/>
        <v>0</v>
      </c>
      <c r="H109" s="628">
        <v>0</v>
      </c>
      <c r="I109" s="702"/>
      <c r="J109" s="683">
        <f t="shared" si="16"/>
        <v>0</v>
      </c>
      <c r="K109" s="702">
        <v>0</v>
      </c>
      <c r="L109" s="643"/>
      <c r="M109" s="614"/>
      <c r="N109" s="623"/>
    </row>
    <row r="110" spans="1:14" s="673" customFormat="1" hidden="1" outlineLevel="1">
      <c r="A110" s="698"/>
      <c r="B110" s="699"/>
      <c r="C110" s="626" t="s">
        <v>803</v>
      </c>
      <c r="D110" s="700">
        <v>2100600024</v>
      </c>
      <c r="E110" s="683"/>
      <c r="F110" s="701"/>
      <c r="G110" s="648">
        <f t="shared" si="15"/>
        <v>0</v>
      </c>
      <c r="H110" s="628">
        <v>0</v>
      </c>
      <c r="I110" s="702"/>
      <c r="J110" s="702">
        <f t="shared" si="16"/>
        <v>0</v>
      </c>
      <c r="K110" s="702">
        <v>0</v>
      </c>
      <c r="L110" s="643"/>
      <c r="M110" s="614"/>
      <c r="N110" s="623"/>
    </row>
    <row r="111" spans="1:14" s="673" customFormat="1" hidden="1" outlineLevel="1">
      <c r="A111" s="698"/>
      <c r="B111" s="699"/>
      <c r="C111" s="626" t="s">
        <v>804</v>
      </c>
      <c r="D111" s="700">
        <v>2100600025</v>
      </c>
      <c r="E111" s="683"/>
      <c r="F111" s="701"/>
      <c r="G111" s="648">
        <f t="shared" si="15"/>
        <v>0</v>
      </c>
      <c r="H111" s="628">
        <v>0</v>
      </c>
      <c r="I111" s="702"/>
      <c r="J111" s="702">
        <f t="shared" si="16"/>
        <v>0</v>
      </c>
      <c r="K111" s="702">
        <v>0</v>
      </c>
      <c r="L111" s="643"/>
      <c r="M111" s="614"/>
      <c r="N111" s="623"/>
    </row>
    <row r="112" spans="1:14" s="673" customFormat="1" hidden="1" outlineLevel="1">
      <c r="A112" s="698"/>
      <c r="B112" s="699"/>
      <c r="C112" s="626" t="s">
        <v>805</v>
      </c>
      <c r="D112" s="700">
        <v>2100600026</v>
      </c>
      <c r="E112" s="683"/>
      <c r="F112" s="701"/>
      <c r="G112" s="648">
        <f t="shared" si="15"/>
        <v>0</v>
      </c>
      <c r="H112" s="628">
        <v>0</v>
      </c>
      <c r="I112" s="702"/>
      <c r="J112" s="702">
        <f t="shared" si="16"/>
        <v>0</v>
      </c>
      <c r="K112" s="702">
        <v>0</v>
      </c>
      <c r="L112" s="643"/>
      <c r="M112" s="614"/>
      <c r="N112" s="623"/>
    </row>
    <row r="113" spans="1:14" hidden="1" outlineLevel="1">
      <c r="A113" s="703"/>
      <c r="B113" s="704"/>
      <c r="C113" s="667" t="s">
        <v>806</v>
      </c>
      <c r="D113" s="700">
        <v>2100600027</v>
      </c>
      <c r="E113" s="683"/>
      <c r="F113" s="705"/>
      <c r="G113" s="648">
        <f t="shared" si="15"/>
        <v>0</v>
      </c>
      <c r="H113" s="628">
        <v>0</v>
      </c>
      <c r="I113" s="702"/>
      <c r="J113" s="706">
        <f t="shared" si="16"/>
        <v>0</v>
      </c>
      <c r="K113" s="702">
        <v>0</v>
      </c>
      <c r="L113" s="643"/>
      <c r="M113" s="614"/>
      <c r="N113" s="623"/>
    </row>
    <row r="114" spans="1:14" hidden="1" outlineLevel="1">
      <c r="A114" s="707"/>
      <c r="B114" s="699"/>
      <c r="C114" s="626" t="s">
        <v>807</v>
      </c>
      <c r="D114" s="700">
        <v>2100600028</v>
      </c>
      <c r="E114" s="683"/>
      <c r="F114" s="701"/>
      <c r="G114" s="648">
        <f t="shared" si="15"/>
        <v>0</v>
      </c>
      <c r="H114" s="628">
        <v>0</v>
      </c>
      <c r="I114" s="702"/>
      <c r="J114" s="702">
        <f t="shared" si="16"/>
        <v>0</v>
      </c>
      <c r="K114" s="702">
        <v>0</v>
      </c>
      <c r="L114" s="643"/>
      <c r="M114" s="614"/>
      <c r="N114" s="623"/>
    </row>
    <row r="115" spans="1:14" s="673" customFormat="1" hidden="1" outlineLevel="1">
      <c r="A115" s="698"/>
      <c r="B115" s="699"/>
      <c r="C115" s="626" t="s">
        <v>808</v>
      </c>
      <c r="D115" s="700">
        <v>2100600029</v>
      </c>
      <c r="E115" s="683"/>
      <c r="F115" s="701"/>
      <c r="G115" s="648">
        <f t="shared" si="15"/>
        <v>0</v>
      </c>
      <c r="H115" s="628">
        <v>0</v>
      </c>
      <c r="I115" s="702"/>
      <c r="J115" s="702">
        <f t="shared" si="16"/>
        <v>0</v>
      </c>
      <c r="K115" s="702">
        <v>0</v>
      </c>
      <c r="L115" s="643"/>
      <c r="M115" s="614"/>
      <c r="N115" s="623"/>
    </row>
    <row r="116" spans="1:14" s="673" customFormat="1" ht="15" hidden="1" customHeight="1" outlineLevel="1">
      <c r="A116" s="696"/>
      <c r="B116" s="697"/>
      <c r="C116" s="626" t="s">
        <v>809</v>
      </c>
      <c r="D116" s="700">
        <v>2100600039</v>
      </c>
      <c r="E116" s="683"/>
      <c r="F116" s="684"/>
      <c r="G116" s="648">
        <f t="shared" si="15"/>
        <v>0</v>
      </c>
      <c r="H116" s="628">
        <v>0</v>
      </c>
      <c r="I116" s="702"/>
      <c r="J116" s="702">
        <f t="shared" si="16"/>
        <v>0</v>
      </c>
      <c r="K116" s="702">
        <v>0</v>
      </c>
      <c r="L116" s="643"/>
      <c r="M116" s="614"/>
      <c r="N116" s="623"/>
    </row>
    <row r="117" spans="1:14" s="673" customFormat="1" hidden="1" outlineLevel="1">
      <c r="A117" s="696"/>
      <c r="B117" s="697"/>
      <c r="C117" s="626" t="s">
        <v>810</v>
      </c>
      <c r="D117" s="708">
        <v>2100600047</v>
      </c>
      <c r="E117" s="683"/>
      <c r="F117" s="684"/>
      <c r="G117" s="648">
        <f t="shared" si="15"/>
        <v>0</v>
      </c>
      <c r="H117" s="628">
        <v>0</v>
      </c>
      <c r="I117" s="702"/>
      <c r="J117" s="702">
        <f t="shared" si="16"/>
        <v>0</v>
      </c>
      <c r="K117" s="702">
        <v>0</v>
      </c>
      <c r="L117" s="643"/>
      <c r="M117" s="614"/>
      <c r="N117" s="623"/>
    </row>
    <row r="118" spans="1:14" s="605" customFormat="1" hidden="1" outlineLevel="1">
      <c r="A118" s="639"/>
      <c r="B118" s="697">
        <v>2.2000000000000002</v>
      </c>
      <c r="C118" s="640" t="s">
        <v>811</v>
      </c>
      <c r="D118" s="641">
        <v>2100300000</v>
      </c>
      <c r="E118" s="683"/>
      <c r="F118" s="684">
        <v>0</v>
      </c>
      <c r="G118" s="648">
        <f t="shared" si="15"/>
        <v>0</v>
      </c>
      <c r="H118" s="628"/>
      <c r="I118" s="702"/>
      <c r="J118" s="702">
        <f t="shared" si="16"/>
        <v>0</v>
      </c>
      <c r="K118" s="702" t="e">
        <f>I118*100/G118</f>
        <v>#DIV/0!</v>
      </c>
      <c r="L118" s="643"/>
      <c r="M118" s="614"/>
      <c r="N118" s="623"/>
    </row>
    <row r="119" spans="1:14" s="605" customFormat="1" outlineLevel="1">
      <c r="A119" s="624"/>
      <c r="B119" s="699">
        <v>2.1</v>
      </c>
      <c r="C119" s="626" t="s">
        <v>812</v>
      </c>
      <c r="D119" s="627">
        <v>2100500000</v>
      </c>
      <c r="E119" s="702"/>
      <c r="F119" s="701">
        <v>400000</v>
      </c>
      <c r="G119" s="648">
        <f>SUM(E119:F119)</f>
        <v>400000</v>
      </c>
      <c r="H119" s="628"/>
      <c r="I119" s="702"/>
      <c r="J119" s="649">
        <f t="shared" si="16"/>
        <v>400000</v>
      </c>
      <c r="K119" s="702">
        <v>0</v>
      </c>
      <c r="L119" s="643"/>
      <c r="M119" s="614"/>
      <c r="N119" s="623"/>
    </row>
    <row r="120" spans="1:14" s="605" customFormat="1" hidden="1" outlineLevel="1">
      <c r="A120" s="666"/>
      <c r="B120" s="699">
        <v>2.4</v>
      </c>
      <c r="C120" s="667" t="s">
        <v>813</v>
      </c>
      <c r="D120" s="668">
        <v>2100700000</v>
      </c>
      <c r="E120" s="683"/>
      <c r="F120" s="705">
        <v>0</v>
      </c>
      <c r="G120" s="702"/>
      <c r="H120" s="628"/>
      <c r="I120" s="702"/>
      <c r="J120" s="706">
        <f t="shared" si="16"/>
        <v>0</v>
      </c>
      <c r="K120" s="702" t="e">
        <f t="shared" ref="K120:K125" si="17">I120*100/G120</f>
        <v>#DIV/0!</v>
      </c>
      <c r="L120" s="643"/>
      <c r="M120" s="614"/>
      <c r="N120" s="623"/>
    </row>
    <row r="121" spans="1:14" s="605" customFormat="1" hidden="1" outlineLevel="1">
      <c r="A121" s="624"/>
      <c r="B121" s="699">
        <v>2.5</v>
      </c>
      <c r="C121" s="626" t="s">
        <v>814</v>
      </c>
      <c r="D121" s="627">
        <v>2010300000</v>
      </c>
      <c r="E121" s="683"/>
      <c r="F121" s="701">
        <v>0</v>
      </c>
      <c r="G121" s="702"/>
      <c r="H121" s="628"/>
      <c r="I121" s="702"/>
      <c r="J121" s="702">
        <f t="shared" si="16"/>
        <v>0</v>
      </c>
      <c r="K121" s="702" t="e">
        <f t="shared" si="17"/>
        <v>#DIV/0!</v>
      </c>
      <c r="L121" s="643"/>
      <c r="M121" s="614"/>
      <c r="N121" s="623"/>
    </row>
    <row r="122" spans="1:14" hidden="1">
      <c r="A122" s="666"/>
      <c r="B122" s="704">
        <v>2.2999999999999998</v>
      </c>
      <c r="C122" s="667" t="s">
        <v>815</v>
      </c>
      <c r="D122" s="668">
        <v>7500200000</v>
      </c>
      <c r="E122" s="683"/>
      <c r="F122" s="705"/>
      <c r="G122" s="706"/>
      <c r="H122" s="628"/>
      <c r="I122" s="702"/>
      <c r="J122" s="706">
        <f t="shared" si="16"/>
        <v>0</v>
      </c>
      <c r="K122" s="706" t="e">
        <f t="shared" si="17"/>
        <v>#DIV/0!</v>
      </c>
      <c r="L122" s="643"/>
      <c r="M122" s="614"/>
      <c r="N122" s="623"/>
    </row>
    <row r="123" spans="1:14" s="712" customFormat="1" outlineLevel="1">
      <c r="A123" s="631"/>
      <c r="B123" s="709">
        <v>2.2000000000000002</v>
      </c>
      <c r="C123" s="633" t="s">
        <v>816</v>
      </c>
      <c r="D123" s="634">
        <v>2500700000</v>
      </c>
      <c r="E123" s="710">
        <v>500000</v>
      </c>
      <c r="F123" s="687"/>
      <c r="G123" s="652">
        <f>SUM(E123:F123)</f>
        <v>500000</v>
      </c>
      <c r="H123" s="652"/>
      <c r="I123" s="652"/>
      <c r="J123" s="652">
        <f t="shared" si="16"/>
        <v>500000</v>
      </c>
      <c r="K123" s="711">
        <f t="shared" si="17"/>
        <v>0</v>
      </c>
      <c r="L123" s="643"/>
      <c r="M123" s="614"/>
      <c r="N123" s="623"/>
    </row>
    <row r="124" spans="1:14" s="605" customFormat="1" hidden="1" outlineLevel="1">
      <c r="A124" s="615"/>
      <c r="B124" s="713">
        <v>2.7</v>
      </c>
      <c r="C124" s="617" t="s">
        <v>817</v>
      </c>
      <c r="D124" s="618">
        <v>10200005</v>
      </c>
      <c r="E124" s="642"/>
      <c r="F124" s="714"/>
      <c r="G124" s="622">
        <f>+E124+F124</f>
        <v>0</v>
      </c>
      <c r="H124" s="642"/>
      <c r="I124" s="642"/>
      <c r="J124" s="622">
        <f t="shared" si="16"/>
        <v>0</v>
      </c>
      <c r="K124" s="622" t="e">
        <f t="shared" si="17"/>
        <v>#DIV/0!</v>
      </c>
      <c r="L124" s="643"/>
      <c r="M124" s="614"/>
      <c r="N124" s="623"/>
    </row>
    <row r="125" spans="1:14" s="605" customFormat="1" hidden="1" outlineLevel="1">
      <c r="A125" s="631"/>
      <c r="B125" s="709">
        <v>2.4</v>
      </c>
      <c r="C125" s="633" t="s">
        <v>818</v>
      </c>
      <c r="D125" s="634">
        <v>200400022</v>
      </c>
      <c r="E125" s="642"/>
      <c r="F125" s="687"/>
      <c r="G125" s="636">
        <f>+E125+F125</f>
        <v>0</v>
      </c>
      <c r="H125" s="628">
        <v>0</v>
      </c>
      <c r="I125" s="628"/>
      <c r="J125" s="636">
        <f t="shared" si="16"/>
        <v>0</v>
      </c>
      <c r="K125" s="636" t="e">
        <f t="shared" si="17"/>
        <v>#DIV/0!</v>
      </c>
      <c r="L125" s="643"/>
      <c r="M125" s="614"/>
      <c r="N125" s="623"/>
    </row>
    <row r="126" spans="1:14" collapsed="1">
      <c r="A126" s="581"/>
      <c r="B126" s="715"/>
      <c r="C126" s="716"/>
      <c r="D126" s="716"/>
      <c r="E126" s="717"/>
      <c r="F126" s="718"/>
      <c r="G126" s="717"/>
      <c r="H126" s="717"/>
      <c r="I126" s="719"/>
      <c r="J126" s="719"/>
      <c r="K126" s="581"/>
      <c r="N126" s="623"/>
    </row>
    <row r="127" spans="1:14">
      <c r="A127" s="581"/>
      <c r="B127" s="715"/>
      <c r="C127" s="716"/>
      <c r="D127" s="716"/>
      <c r="E127" s="717"/>
      <c r="F127" s="718"/>
      <c r="G127" s="717"/>
      <c r="H127" s="717"/>
      <c r="I127" s="719"/>
      <c r="J127" s="719"/>
      <c r="K127" s="581"/>
      <c r="N127" s="623"/>
    </row>
    <row r="128" spans="1:14">
      <c r="A128" s="581"/>
      <c r="B128" s="715"/>
      <c r="C128" s="716"/>
      <c r="D128" s="716"/>
      <c r="E128" s="717"/>
      <c r="F128" s="718"/>
      <c r="G128" s="717"/>
      <c r="H128" s="717"/>
      <c r="I128" s="719"/>
      <c r="J128" s="719"/>
      <c r="K128" s="581"/>
    </row>
    <row r="129" spans="1:11" ht="18" customHeight="1">
      <c r="A129" s="581"/>
      <c r="B129" s="720"/>
      <c r="C129" s="716"/>
      <c r="D129" s="716"/>
      <c r="E129" s="717"/>
      <c r="F129" s="718"/>
      <c r="G129" s="717"/>
      <c r="H129" s="717"/>
      <c r="I129" s="719"/>
      <c r="J129" s="719"/>
      <c r="K129" s="581"/>
    </row>
    <row r="130" spans="1:11">
      <c r="A130" s="673"/>
      <c r="B130" s="715"/>
      <c r="C130" s="716"/>
      <c r="D130" s="716"/>
      <c r="E130" s="717"/>
      <c r="F130" s="718"/>
      <c r="G130" s="717"/>
      <c r="H130" s="717"/>
      <c r="I130" s="719"/>
      <c r="J130" s="719"/>
      <c r="K130" s="581"/>
    </row>
    <row r="131" spans="1:11">
      <c r="A131" s="581"/>
      <c r="B131" s="715"/>
      <c r="C131" s="716"/>
      <c r="D131" s="716"/>
      <c r="E131" s="717"/>
      <c r="F131" s="718"/>
      <c r="G131" s="717"/>
      <c r="H131" s="717"/>
      <c r="I131" s="719"/>
      <c r="J131" s="719"/>
      <c r="K131" s="581"/>
    </row>
    <row r="132" spans="1:11">
      <c r="A132" s="581"/>
      <c r="B132" s="715"/>
      <c r="C132" s="716"/>
      <c r="D132" s="716"/>
      <c r="E132" s="717"/>
      <c r="F132" s="718"/>
      <c r="G132" s="717"/>
      <c r="H132" s="717"/>
      <c r="I132" s="717"/>
      <c r="J132" s="719"/>
      <c r="K132" s="581"/>
    </row>
    <row r="133" spans="1:11">
      <c r="A133" s="581"/>
      <c r="B133" s="715"/>
      <c r="C133" s="716"/>
      <c r="D133" s="716"/>
      <c r="E133" s="716"/>
      <c r="F133" s="718"/>
      <c r="G133" s="1127"/>
      <c r="H133" s="1127"/>
      <c r="I133" s="1127"/>
      <c r="J133" s="721"/>
      <c r="K133" s="581"/>
    </row>
    <row r="134" spans="1:11">
      <c r="A134" s="581"/>
      <c r="B134" s="715"/>
      <c r="C134" s="716"/>
      <c r="D134" s="716"/>
      <c r="E134" s="716"/>
      <c r="F134" s="718"/>
      <c r="G134" s="722"/>
      <c r="H134" s="722"/>
      <c r="I134" s="722"/>
      <c r="J134" s="721"/>
      <c r="K134" s="581"/>
    </row>
    <row r="135" spans="1:11">
      <c r="A135" s="581"/>
      <c r="B135" s="715"/>
      <c r="C135" s="716"/>
      <c r="D135" s="716"/>
      <c r="E135" s="716"/>
      <c r="F135" s="718"/>
      <c r="G135" s="722"/>
      <c r="H135" s="722"/>
      <c r="I135" s="722"/>
      <c r="J135" s="721"/>
      <c r="K135" s="581"/>
    </row>
    <row r="136" spans="1:11">
      <c r="A136" s="581"/>
      <c r="B136" s="715"/>
      <c r="C136" s="716"/>
      <c r="D136" s="716"/>
      <c r="E136" s="716"/>
      <c r="F136" s="718"/>
      <c r="G136" s="722"/>
      <c r="H136" s="722"/>
      <c r="I136" s="722"/>
      <c r="J136" s="721"/>
      <c r="K136" s="581"/>
    </row>
    <row r="137" spans="1:11">
      <c r="A137" s="581"/>
      <c r="B137" s="715"/>
      <c r="C137" s="716"/>
      <c r="D137" s="716"/>
      <c r="E137" s="716"/>
      <c r="F137" s="718"/>
      <c r="G137" s="722"/>
      <c r="H137" s="722"/>
      <c r="I137" s="722"/>
      <c r="J137" s="721"/>
      <c r="K137" s="581"/>
    </row>
    <row r="138" spans="1:11">
      <c r="A138" s="581"/>
      <c r="B138" s="715"/>
      <c r="C138" s="716"/>
      <c r="D138" s="716"/>
      <c r="E138" s="717"/>
      <c r="F138" s="718"/>
      <c r="G138" s="717"/>
      <c r="H138" s="717"/>
      <c r="I138" s="719"/>
      <c r="J138" s="719"/>
      <c r="K138" s="581"/>
    </row>
    <row r="139" spans="1:11">
      <c r="A139" s="581"/>
      <c r="B139" s="715"/>
      <c r="C139" s="716"/>
      <c r="D139" s="716"/>
      <c r="E139" s="717"/>
      <c r="F139" s="718"/>
      <c r="G139" s="717"/>
      <c r="H139" s="717"/>
      <c r="I139" s="719"/>
      <c r="J139" s="719"/>
      <c r="K139" s="581"/>
    </row>
    <row r="140" spans="1:11">
      <c r="A140" s="581"/>
      <c r="B140" s="715"/>
      <c r="C140" s="716"/>
      <c r="D140" s="716"/>
      <c r="E140" s="717"/>
      <c r="F140" s="718"/>
      <c r="G140" s="717"/>
      <c r="H140" s="717"/>
      <c r="I140" s="719"/>
      <c r="J140" s="719"/>
      <c r="K140" s="581"/>
    </row>
    <row r="141" spans="1:11">
      <c r="A141" s="581"/>
      <c r="B141" s="715"/>
      <c r="C141" s="716"/>
      <c r="D141" s="716"/>
      <c r="E141" s="717"/>
      <c r="F141" s="718"/>
      <c r="G141" s="717"/>
      <c r="H141" s="717"/>
      <c r="I141" s="719"/>
      <c r="J141" s="719"/>
      <c r="K141" s="581"/>
    </row>
    <row r="142" spans="1:11">
      <c r="A142" s="581"/>
      <c r="B142" s="715"/>
      <c r="C142" s="716"/>
      <c r="D142" s="716"/>
      <c r="E142" s="717"/>
      <c r="F142" s="718"/>
      <c r="G142" s="717"/>
      <c r="H142" s="717"/>
      <c r="I142" s="719"/>
      <c r="J142" s="719"/>
      <c r="K142" s="581"/>
    </row>
    <row r="143" spans="1:11">
      <c r="A143" s="581"/>
      <c r="B143" s="715"/>
      <c r="C143" s="716"/>
      <c r="D143" s="716"/>
      <c r="E143" s="717"/>
      <c r="F143" s="718"/>
      <c r="G143" s="717"/>
      <c r="H143" s="717"/>
      <c r="I143" s="719"/>
      <c r="J143" s="719"/>
      <c r="K143" s="581"/>
    </row>
    <row r="144" spans="1:11">
      <c r="A144" s="581"/>
      <c r="B144" s="715"/>
      <c r="C144" s="716"/>
      <c r="D144" s="716"/>
      <c r="E144" s="717"/>
      <c r="F144" s="718"/>
      <c r="G144" s="717"/>
      <c r="H144" s="717"/>
      <c r="I144" s="719"/>
      <c r="J144" s="719"/>
      <c r="K144" s="581"/>
    </row>
    <row r="145" spans="1:11">
      <c r="A145" s="581"/>
      <c r="B145" s="715"/>
      <c r="C145" s="716"/>
      <c r="D145" s="716"/>
      <c r="E145" s="717"/>
      <c r="F145" s="718"/>
      <c r="G145" s="717"/>
      <c r="H145" s="717"/>
      <c r="I145" s="719"/>
      <c r="J145" s="719"/>
      <c r="K145" s="581"/>
    </row>
    <row r="146" spans="1:11">
      <c r="A146" s="581"/>
      <c r="B146" s="715"/>
      <c r="C146" s="716"/>
      <c r="D146" s="716"/>
      <c r="E146" s="717"/>
      <c r="F146" s="718"/>
      <c r="G146" s="717"/>
      <c r="H146" s="717"/>
      <c r="I146" s="719"/>
      <c r="J146" s="719"/>
      <c r="K146" s="581"/>
    </row>
    <row r="147" spans="1:11">
      <c r="A147" s="581"/>
      <c r="B147" s="715"/>
      <c r="C147" s="716"/>
      <c r="D147" s="716"/>
      <c r="E147" s="717"/>
      <c r="F147" s="718"/>
      <c r="G147" s="717"/>
      <c r="H147" s="717"/>
      <c r="I147" s="719"/>
      <c r="J147" s="719"/>
      <c r="K147" s="581"/>
    </row>
    <row r="148" spans="1:11">
      <c r="A148" s="581"/>
      <c r="B148" s="715"/>
      <c r="C148" s="716"/>
      <c r="D148" s="716"/>
      <c r="E148" s="717"/>
      <c r="F148" s="718"/>
      <c r="G148" s="717"/>
      <c r="H148" s="717"/>
      <c r="I148" s="719"/>
      <c r="J148" s="719"/>
      <c r="K148" s="581"/>
    </row>
    <row r="149" spans="1:11">
      <c r="A149" s="581"/>
      <c r="B149" s="715"/>
      <c r="C149" s="716"/>
      <c r="D149" s="716"/>
      <c r="E149" s="717"/>
      <c r="F149" s="718"/>
      <c r="G149" s="717"/>
      <c r="H149" s="717"/>
      <c r="I149" s="719"/>
      <c r="J149" s="719"/>
      <c r="K149" s="581"/>
    </row>
    <row r="150" spans="1:11">
      <c r="A150" s="581"/>
      <c r="B150" s="715"/>
      <c r="C150" s="716"/>
      <c r="D150" s="716"/>
      <c r="E150" s="717"/>
      <c r="F150" s="718"/>
      <c r="G150" s="717"/>
      <c r="H150" s="717"/>
      <c r="I150" s="719"/>
      <c r="J150" s="719"/>
      <c r="K150" s="581"/>
    </row>
    <row r="151" spans="1:11">
      <c r="A151" s="581"/>
      <c r="B151" s="715"/>
      <c r="C151" s="716"/>
      <c r="D151" s="716"/>
      <c r="E151" s="717"/>
      <c r="F151" s="718"/>
      <c r="G151" s="717"/>
      <c r="H151" s="717"/>
      <c r="I151" s="719"/>
      <c r="J151" s="719"/>
      <c r="K151" s="581"/>
    </row>
    <row r="152" spans="1:11">
      <c r="A152" s="581"/>
      <c r="B152" s="715"/>
      <c r="C152" s="716"/>
      <c r="D152" s="716"/>
      <c r="E152" s="717"/>
      <c r="F152" s="718"/>
      <c r="G152" s="717"/>
      <c r="H152" s="717"/>
      <c r="I152" s="719"/>
      <c r="J152" s="719"/>
      <c r="K152" s="581"/>
    </row>
    <row r="153" spans="1:11">
      <c r="E153" s="726"/>
      <c r="G153" s="726"/>
      <c r="H153" s="726"/>
      <c r="I153" s="726"/>
      <c r="J153" s="726"/>
    </row>
    <row r="154" spans="1:11">
      <c r="E154" s="726"/>
      <c r="G154" s="726"/>
      <c r="H154" s="726"/>
      <c r="I154" s="726"/>
      <c r="J154" s="726"/>
    </row>
    <row r="155" spans="1:11">
      <c r="E155" s="726"/>
      <c r="G155" s="726"/>
      <c r="H155" s="726"/>
      <c r="I155" s="726"/>
      <c r="J155" s="726"/>
    </row>
    <row r="156" spans="1:11">
      <c r="E156" s="726"/>
      <c r="G156" s="726"/>
      <c r="H156" s="726"/>
      <c r="I156" s="726"/>
      <c r="J156" s="726"/>
    </row>
    <row r="157" spans="1:11">
      <c r="E157" s="726"/>
      <c r="G157" s="726"/>
      <c r="H157" s="726"/>
    </row>
    <row r="158" spans="1:11">
      <c r="E158" s="726"/>
      <c r="G158" s="726"/>
      <c r="H158" s="726"/>
      <c r="I158" s="726"/>
      <c r="J158" s="726"/>
    </row>
    <row r="159" spans="1:11">
      <c r="E159" s="726"/>
      <c r="G159" s="726"/>
      <c r="H159" s="726"/>
      <c r="I159" s="729"/>
    </row>
    <row r="160" spans="1:11">
      <c r="E160" s="730"/>
      <c r="G160" s="730"/>
      <c r="H160" s="730"/>
      <c r="I160" s="729"/>
      <c r="J160" s="731"/>
    </row>
    <row r="161" spans="5:10">
      <c r="I161" s="729"/>
      <c r="J161" s="731"/>
    </row>
    <row r="162" spans="5:10">
      <c r="E162" s="729"/>
      <c r="G162" s="729"/>
      <c r="H162" s="729"/>
      <c r="I162" s="729"/>
      <c r="J162" s="729"/>
    </row>
    <row r="163" spans="5:10">
      <c r="I163" s="729"/>
      <c r="J163" s="729"/>
    </row>
    <row r="164" spans="5:10">
      <c r="I164" s="729"/>
      <c r="J164" s="731"/>
    </row>
    <row r="165" spans="5:10">
      <c r="I165" s="729"/>
      <c r="J165" s="730"/>
    </row>
    <row r="166" spans="5:10">
      <c r="I166" s="729"/>
      <c r="J166" s="729"/>
    </row>
    <row r="167" spans="5:10">
      <c r="I167" s="729"/>
      <c r="J167" s="730"/>
    </row>
    <row r="168" spans="5:10">
      <c r="J168" s="729"/>
    </row>
    <row r="169" spans="5:10">
      <c r="J169" s="729"/>
    </row>
  </sheetData>
  <mergeCells count="6">
    <mergeCell ref="G133:I133"/>
    <mergeCell ref="A1:K1"/>
    <mergeCell ref="A2:K2"/>
    <mergeCell ref="A3:K3"/>
    <mergeCell ref="B5:C5"/>
    <mergeCell ref="B100:C10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1261"/>
  <sheetViews>
    <sheetView workbookViewId="0">
      <selection activeCell="J76" sqref="J76"/>
    </sheetView>
  </sheetViews>
  <sheetFormatPr defaultRowHeight="15.75" outlineLevelRow="2"/>
  <cols>
    <col min="1" max="1" width="4.5" style="732" customWidth="1"/>
    <col min="2" max="2" width="4.875" style="880" customWidth="1"/>
    <col min="3" max="3" width="33.5" style="881" customWidth="1"/>
    <col min="4" max="4" width="17.75" style="744" hidden="1" customWidth="1"/>
    <col min="5" max="5" width="11" style="882" customWidth="1"/>
    <col min="6" max="6" width="11.25" style="883" customWidth="1"/>
    <col min="7" max="7" width="11.5" style="753" customWidth="1"/>
    <col min="8" max="8" width="11.375" style="753" customWidth="1"/>
    <col min="9" max="9" width="6.75" style="732" customWidth="1"/>
    <col min="10" max="10" width="10.5" style="732" bestFit="1" customWidth="1"/>
    <col min="11" max="11" width="10.75" style="732" bestFit="1" customWidth="1"/>
    <col min="12" max="256" width="9" style="732"/>
    <col min="257" max="257" width="4.5" style="732" customWidth="1"/>
    <col min="258" max="258" width="4.875" style="732" customWidth="1"/>
    <col min="259" max="259" width="33.5" style="732" customWidth="1"/>
    <col min="260" max="260" width="0" style="732" hidden="1" customWidth="1"/>
    <col min="261" max="261" width="11" style="732" customWidth="1"/>
    <col min="262" max="262" width="11.25" style="732" customWidth="1"/>
    <col min="263" max="263" width="11.5" style="732" customWidth="1"/>
    <col min="264" max="264" width="11.375" style="732" customWidth="1"/>
    <col min="265" max="265" width="6.75" style="732" customWidth="1"/>
    <col min="266" max="266" width="10.5" style="732" bestFit="1" customWidth="1"/>
    <col min="267" max="267" width="10.75" style="732" bestFit="1" customWidth="1"/>
    <col min="268" max="512" width="9" style="732"/>
    <col min="513" max="513" width="4.5" style="732" customWidth="1"/>
    <col min="514" max="514" width="4.875" style="732" customWidth="1"/>
    <col min="515" max="515" width="33.5" style="732" customWidth="1"/>
    <col min="516" max="516" width="0" style="732" hidden="1" customWidth="1"/>
    <col min="517" max="517" width="11" style="732" customWidth="1"/>
    <col min="518" max="518" width="11.25" style="732" customWidth="1"/>
    <col min="519" max="519" width="11.5" style="732" customWidth="1"/>
    <col min="520" max="520" width="11.375" style="732" customWidth="1"/>
    <col min="521" max="521" width="6.75" style="732" customWidth="1"/>
    <col min="522" max="522" width="10.5" style="732" bestFit="1" customWidth="1"/>
    <col min="523" max="523" width="10.75" style="732" bestFit="1" customWidth="1"/>
    <col min="524" max="768" width="9" style="732"/>
    <col min="769" max="769" width="4.5" style="732" customWidth="1"/>
    <col min="770" max="770" width="4.875" style="732" customWidth="1"/>
    <col min="771" max="771" width="33.5" style="732" customWidth="1"/>
    <col min="772" max="772" width="0" style="732" hidden="1" customWidth="1"/>
    <col min="773" max="773" width="11" style="732" customWidth="1"/>
    <col min="774" max="774" width="11.25" style="732" customWidth="1"/>
    <col min="775" max="775" width="11.5" style="732" customWidth="1"/>
    <col min="776" max="776" width="11.375" style="732" customWidth="1"/>
    <col min="777" max="777" width="6.75" style="732" customWidth="1"/>
    <col min="778" max="778" width="10.5" style="732" bestFit="1" customWidth="1"/>
    <col min="779" max="779" width="10.75" style="732" bestFit="1" customWidth="1"/>
    <col min="780" max="1024" width="9" style="732"/>
    <col min="1025" max="1025" width="4.5" style="732" customWidth="1"/>
    <col min="1026" max="1026" width="4.875" style="732" customWidth="1"/>
    <col min="1027" max="1027" width="33.5" style="732" customWidth="1"/>
    <col min="1028" max="1028" width="0" style="732" hidden="1" customWidth="1"/>
    <col min="1029" max="1029" width="11" style="732" customWidth="1"/>
    <col min="1030" max="1030" width="11.25" style="732" customWidth="1"/>
    <col min="1031" max="1031" width="11.5" style="732" customWidth="1"/>
    <col min="1032" max="1032" width="11.375" style="732" customWidth="1"/>
    <col min="1033" max="1033" width="6.75" style="732" customWidth="1"/>
    <col min="1034" max="1034" width="10.5" style="732" bestFit="1" customWidth="1"/>
    <col min="1035" max="1035" width="10.75" style="732" bestFit="1" customWidth="1"/>
    <col min="1036" max="1280" width="9" style="732"/>
    <col min="1281" max="1281" width="4.5" style="732" customWidth="1"/>
    <col min="1282" max="1282" width="4.875" style="732" customWidth="1"/>
    <col min="1283" max="1283" width="33.5" style="732" customWidth="1"/>
    <col min="1284" max="1284" width="0" style="732" hidden="1" customWidth="1"/>
    <col min="1285" max="1285" width="11" style="732" customWidth="1"/>
    <col min="1286" max="1286" width="11.25" style="732" customWidth="1"/>
    <col min="1287" max="1287" width="11.5" style="732" customWidth="1"/>
    <col min="1288" max="1288" width="11.375" style="732" customWidth="1"/>
    <col min="1289" max="1289" width="6.75" style="732" customWidth="1"/>
    <col min="1290" max="1290" width="10.5" style="732" bestFit="1" customWidth="1"/>
    <col min="1291" max="1291" width="10.75" style="732" bestFit="1" customWidth="1"/>
    <col min="1292" max="1536" width="9" style="732"/>
    <col min="1537" max="1537" width="4.5" style="732" customWidth="1"/>
    <col min="1538" max="1538" width="4.875" style="732" customWidth="1"/>
    <col min="1539" max="1539" width="33.5" style="732" customWidth="1"/>
    <col min="1540" max="1540" width="0" style="732" hidden="1" customWidth="1"/>
    <col min="1541" max="1541" width="11" style="732" customWidth="1"/>
    <col min="1542" max="1542" width="11.25" style="732" customWidth="1"/>
    <col min="1543" max="1543" width="11.5" style="732" customWidth="1"/>
    <col min="1544" max="1544" width="11.375" style="732" customWidth="1"/>
    <col min="1545" max="1545" width="6.75" style="732" customWidth="1"/>
    <col min="1546" max="1546" width="10.5" style="732" bestFit="1" customWidth="1"/>
    <col min="1547" max="1547" width="10.75" style="732" bestFit="1" customWidth="1"/>
    <col min="1548" max="1792" width="9" style="732"/>
    <col min="1793" max="1793" width="4.5" style="732" customWidth="1"/>
    <col min="1794" max="1794" width="4.875" style="732" customWidth="1"/>
    <col min="1795" max="1795" width="33.5" style="732" customWidth="1"/>
    <col min="1796" max="1796" width="0" style="732" hidden="1" customWidth="1"/>
    <col min="1797" max="1797" width="11" style="732" customWidth="1"/>
    <col min="1798" max="1798" width="11.25" style="732" customWidth="1"/>
    <col min="1799" max="1799" width="11.5" style="732" customWidth="1"/>
    <col min="1800" max="1800" width="11.375" style="732" customWidth="1"/>
    <col min="1801" max="1801" width="6.75" style="732" customWidth="1"/>
    <col min="1802" max="1802" width="10.5" style="732" bestFit="1" customWidth="1"/>
    <col min="1803" max="1803" width="10.75" style="732" bestFit="1" customWidth="1"/>
    <col min="1804" max="2048" width="9" style="732"/>
    <col min="2049" max="2049" width="4.5" style="732" customWidth="1"/>
    <col min="2050" max="2050" width="4.875" style="732" customWidth="1"/>
    <col min="2051" max="2051" width="33.5" style="732" customWidth="1"/>
    <col min="2052" max="2052" width="0" style="732" hidden="1" customWidth="1"/>
    <col min="2053" max="2053" width="11" style="732" customWidth="1"/>
    <col min="2054" max="2054" width="11.25" style="732" customWidth="1"/>
    <col min="2055" max="2055" width="11.5" style="732" customWidth="1"/>
    <col min="2056" max="2056" width="11.375" style="732" customWidth="1"/>
    <col min="2057" max="2057" width="6.75" style="732" customWidth="1"/>
    <col min="2058" max="2058" width="10.5" style="732" bestFit="1" customWidth="1"/>
    <col min="2059" max="2059" width="10.75" style="732" bestFit="1" customWidth="1"/>
    <col min="2060" max="2304" width="9" style="732"/>
    <col min="2305" max="2305" width="4.5" style="732" customWidth="1"/>
    <col min="2306" max="2306" width="4.875" style="732" customWidth="1"/>
    <col min="2307" max="2307" width="33.5" style="732" customWidth="1"/>
    <col min="2308" max="2308" width="0" style="732" hidden="1" customWidth="1"/>
    <col min="2309" max="2309" width="11" style="732" customWidth="1"/>
    <col min="2310" max="2310" width="11.25" style="732" customWidth="1"/>
    <col min="2311" max="2311" width="11.5" style="732" customWidth="1"/>
    <col min="2312" max="2312" width="11.375" style="732" customWidth="1"/>
    <col min="2313" max="2313" width="6.75" style="732" customWidth="1"/>
    <col min="2314" max="2314" width="10.5" style="732" bestFit="1" customWidth="1"/>
    <col min="2315" max="2315" width="10.75" style="732" bestFit="1" customWidth="1"/>
    <col min="2316" max="2560" width="9" style="732"/>
    <col min="2561" max="2561" width="4.5" style="732" customWidth="1"/>
    <col min="2562" max="2562" width="4.875" style="732" customWidth="1"/>
    <col min="2563" max="2563" width="33.5" style="732" customWidth="1"/>
    <col min="2564" max="2564" width="0" style="732" hidden="1" customWidth="1"/>
    <col min="2565" max="2565" width="11" style="732" customWidth="1"/>
    <col min="2566" max="2566" width="11.25" style="732" customWidth="1"/>
    <col min="2567" max="2567" width="11.5" style="732" customWidth="1"/>
    <col min="2568" max="2568" width="11.375" style="732" customWidth="1"/>
    <col min="2569" max="2569" width="6.75" style="732" customWidth="1"/>
    <col min="2570" max="2570" width="10.5" style="732" bestFit="1" customWidth="1"/>
    <col min="2571" max="2571" width="10.75" style="732" bestFit="1" customWidth="1"/>
    <col min="2572" max="2816" width="9" style="732"/>
    <col min="2817" max="2817" width="4.5" style="732" customWidth="1"/>
    <col min="2818" max="2818" width="4.875" style="732" customWidth="1"/>
    <col min="2819" max="2819" width="33.5" style="732" customWidth="1"/>
    <col min="2820" max="2820" width="0" style="732" hidden="1" customWidth="1"/>
    <col min="2821" max="2821" width="11" style="732" customWidth="1"/>
    <col min="2822" max="2822" width="11.25" style="732" customWidth="1"/>
    <col min="2823" max="2823" width="11.5" style="732" customWidth="1"/>
    <col min="2824" max="2824" width="11.375" style="732" customWidth="1"/>
    <col min="2825" max="2825" width="6.75" style="732" customWidth="1"/>
    <col min="2826" max="2826" width="10.5" style="732" bestFit="1" customWidth="1"/>
    <col min="2827" max="2827" width="10.75" style="732" bestFit="1" customWidth="1"/>
    <col min="2828" max="3072" width="9" style="732"/>
    <col min="3073" max="3073" width="4.5" style="732" customWidth="1"/>
    <col min="3074" max="3074" width="4.875" style="732" customWidth="1"/>
    <col min="3075" max="3075" width="33.5" style="732" customWidth="1"/>
    <col min="3076" max="3076" width="0" style="732" hidden="1" customWidth="1"/>
    <col min="3077" max="3077" width="11" style="732" customWidth="1"/>
    <col min="3078" max="3078" width="11.25" style="732" customWidth="1"/>
    <col min="3079" max="3079" width="11.5" style="732" customWidth="1"/>
    <col min="3080" max="3080" width="11.375" style="732" customWidth="1"/>
    <col min="3081" max="3081" width="6.75" style="732" customWidth="1"/>
    <col min="3082" max="3082" width="10.5" style="732" bestFit="1" customWidth="1"/>
    <col min="3083" max="3083" width="10.75" style="732" bestFit="1" customWidth="1"/>
    <col min="3084" max="3328" width="9" style="732"/>
    <col min="3329" max="3329" width="4.5" style="732" customWidth="1"/>
    <col min="3330" max="3330" width="4.875" style="732" customWidth="1"/>
    <col min="3331" max="3331" width="33.5" style="732" customWidth="1"/>
    <col min="3332" max="3332" width="0" style="732" hidden="1" customWidth="1"/>
    <col min="3333" max="3333" width="11" style="732" customWidth="1"/>
    <col min="3334" max="3334" width="11.25" style="732" customWidth="1"/>
    <col min="3335" max="3335" width="11.5" style="732" customWidth="1"/>
    <col min="3336" max="3336" width="11.375" style="732" customWidth="1"/>
    <col min="3337" max="3337" width="6.75" style="732" customWidth="1"/>
    <col min="3338" max="3338" width="10.5" style="732" bestFit="1" customWidth="1"/>
    <col min="3339" max="3339" width="10.75" style="732" bestFit="1" customWidth="1"/>
    <col min="3340" max="3584" width="9" style="732"/>
    <col min="3585" max="3585" width="4.5" style="732" customWidth="1"/>
    <col min="3586" max="3586" width="4.875" style="732" customWidth="1"/>
    <col min="3587" max="3587" width="33.5" style="732" customWidth="1"/>
    <col min="3588" max="3588" width="0" style="732" hidden="1" customWidth="1"/>
    <col min="3589" max="3589" width="11" style="732" customWidth="1"/>
    <col min="3590" max="3590" width="11.25" style="732" customWidth="1"/>
    <col min="3591" max="3591" width="11.5" style="732" customWidth="1"/>
    <col min="3592" max="3592" width="11.375" style="732" customWidth="1"/>
    <col min="3593" max="3593" width="6.75" style="732" customWidth="1"/>
    <col min="3594" max="3594" width="10.5" style="732" bestFit="1" customWidth="1"/>
    <col min="3595" max="3595" width="10.75" style="732" bestFit="1" customWidth="1"/>
    <col min="3596" max="3840" width="9" style="732"/>
    <col min="3841" max="3841" width="4.5" style="732" customWidth="1"/>
    <col min="3842" max="3842" width="4.875" style="732" customWidth="1"/>
    <col min="3843" max="3843" width="33.5" style="732" customWidth="1"/>
    <col min="3844" max="3844" width="0" style="732" hidden="1" customWidth="1"/>
    <col min="3845" max="3845" width="11" style="732" customWidth="1"/>
    <col min="3846" max="3846" width="11.25" style="732" customWidth="1"/>
    <col min="3847" max="3847" width="11.5" style="732" customWidth="1"/>
    <col min="3848" max="3848" width="11.375" style="732" customWidth="1"/>
    <col min="3849" max="3849" width="6.75" style="732" customWidth="1"/>
    <col min="3850" max="3850" width="10.5" style="732" bestFit="1" customWidth="1"/>
    <col min="3851" max="3851" width="10.75" style="732" bestFit="1" customWidth="1"/>
    <col min="3852" max="4096" width="9" style="732"/>
    <col min="4097" max="4097" width="4.5" style="732" customWidth="1"/>
    <col min="4098" max="4098" width="4.875" style="732" customWidth="1"/>
    <col min="4099" max="4099" width="33.5" style="732" customWidth="1"/>
    <col min="4100" max="4100" width="0" style="732" hidden="1" customWidth="1"/>
    <col min="4101" max="4101" width="11" style="732" customWidth="1"/>
    <col min="4102" max="4102" width="11.25" style="732" customWidth="1"/>
    <col min="4103" max="4103" width="11.5" style="732" customWidth="1"/>
    <col min="4104" max="4104" width="11.375" style="732" customWidth="1"/>
    <col min="4105" max="4105" width="6.75" style="732" customWidth="1"/>
    <col min="4106" max="4106" width="10.5" style="732" bestFit="1" customWidth="1"/>
    <col min="4107" max="4107" width="10.75" style="732" bestFit="1" customWidth="1"/>
    <col min="4108" max="4352" width="9" style="732"/>
    <col min="4353" max="4353" width="4.5" style="732" customWidth="1"/>
    <col min="4354" max="4354" width="4.875" style="732" customWidth="1"/>
    <col min="4355" max="4355" width="33.5" style="732" customWidth="1"/>
    <col min="4356" max="4356" width="0" style="732" hidden="1" customWidth="1"/>
    <col min="4357" max="4357" width="11" style="732" customWidth="1"/>
    <col min="4358" max="4358" width="11.25" style="732" customWidth="1"/>
    <col min="4359" max="4359" width="11.5" style="732" customWidth="1"/>
    <col min="4360" max="4360" width="11.375" style="732" customWidth="1"/>
    <col min="4361" max="4361" width="6.75" style="732" customWidth="1"/>
    <col min="4362" max="4362" width="10.5" style="732" bestFit="1" customWidth="1"/>
    <col min="4363" max="4363" width="10.75" style="732" bestFit="1" customWidth="1"/>
    <col min="4364" max="4608" width="9" style="732"/>
    <col min="4609" max="4609" width="4.5" style="732" customWidth="1"/>
    <col min="4610" max="4610" width="4.875" style="732" customWidth="1"/>
    <col min="4611" max="4611" width="33.5" style="732" customWidth="1"/>
    <col min="4612" max="4612" width="0" style="732" hidden="1" customWidth="1"/>
    <col min="4613" max="4613" width="11" style="732" customWidth="1"/>
    <col min="4614" max="4614" width="11.25" style="732" customWidth="1"/>
    <col min="4615" max="4615" width="11.5" style="732" customWidth="1"/>
    <col min="4616" max="4616" width="11.375" style="732" customWidth="1"/>
    <col min="4617" max="4617" width="6.75" style="732" customWidth="1"/>
    <col min="4618" max="4618" width="10.5" style="732" bestFit="1" customWidth="1"/>
    <col min="4619" max="4619" width="10.75" style="732" bestFit="1" customWidth="1"/>
    <col min="4620" max="4864" width="9" style="732"/>
    <col min="4865" max="4865" width="4.5" style="732" customWidth="1"/>
    <col min="4866" max="4866" width="4.875" style="732" customWidth="1"/>
    <col min="4867" max="4867" width="33.5" style="732" customWidth="1"/>
    <col min="4868" max="4868" width="0" style="732" hidden="1" customWidth="1"/>
    <col min="4869" max="4869" width="11" style="732" customWidth="1"/>
    <col min="4870" max="4870" width="11.25" style="732" customWidth="1"/>
    <col min="4871" max="4871" width="11.5" style="732" customWidth="1"/>
    <col min="4872" max="4872" width="11.375" style="732" customWidth="1"/>
    <col min="4873" max="4873" width="6.75" style="732" customWidth="1"/>
    <col min="4874" max="4874" width="10.5" style="732" bestFit="1" customWidth="1"/>
    <col min="4875" max="4875" width="10.75" style="732" bestFit="1" customWidth="1"/>
    <col min="4876" max="5120" width="9" style="732"/>
    <col min="5121" max="5121" width="4.5" style="732" customWidth="1"/>
    <col min="5122" max="5122" width="4.875" style="732" customWidth="1"/>
    <col min="5123" max="5123" width="33.5" style="732" customWidth="1"/>
    <col min="5124" max="5124" width="0" style="732" hidden="1" customWidth="1"/>
    <col min="5125" max="5125" width="11" style="732" customWidth="1"/>
    <col min="5126" max="5126" width="11.25" style="732" customWidth="1"/>
    <col min="5127" max="5127" width="11.5" style="732" customWidth="1"/>
    <col min="5128" max="5128" width="11.375" style="732" customWidth="1"/>
    <col min="5129" max="5129" width="6.75" style="732" customWidth="1"/>
    <col min="5130" max="5130" width="10.5" style="732" bestFit="1" customWidth="1"/>
    <col min="5131" max="5131" width="10.75" style="732" bestFit="1" customWidth="1"/>
    <col min="5132" max="5376" width="9" style="732"/>
    <col min="5377" max="5377" width="4.5" style="732" customWidth="1"/>
    <col min="5378" max="5378" width="4.875" style="732" customWidth="1"/>
    <col min="5379" max="5379" width="33.5" style="732" customWidth="1"/>
    <col min="5380" max="5380" width="0" style="732" hidden="1" customWidth="1"/>
    <col min="5381" max="5381" width="11" style="732" customWidth="1"/>
    <col min="5382" max="5382" width="11.25" style="732" customWidth="1"/>
    <col min="5383" max="5383" width="11.5" style="732" customWidth="1"/>
    <col min="5384" max="5384" width="11.375" style="732" customWidth="1"/>
    <col min="5385" max="5385" width="6.75" style="732" customWidth="1"/>
    <col min="5386" max="5386" width="10.5" style="732" bestFit="1" customWidth="1"/>
    <col min="5387" max="5387" width="10.75" style="732" bestFit="1" customWidth="1"/>
    <col min="5388" max="5632" width="9" style="732"/>
    <col min="5633" max="5633" width="4.5" style="732" customWidth="1"/>
    <col min="5634" max="5634" width="4.875" style="732" customWidth="1"/>
    <col min="5635" max="5635" width="33.5" style="732" customWidth="1"/>
    <col min="5636" max="5636" width="0" style="732" hidden="1" customWidth="1"/>
    <col min="5637" max="5637" width="11" style="732" customWidth="1"/>
    <col min="5638" max="5638" width="11.25" style="732" customWidth="1"/>
    <col min="5639" max="5639" width="11.5" style="732" customWidth="1"/>
    <col min="5640" max="5640" width="11.375" style="732" customWidth="1"/>
    <col min="5641" max="5641" width="6.75" style="732" customWidth="1"/>
    <col min="5642" max="5642" width="10.5" style="732" bestFit="1" customWidth="1"/>
    <col min="5643" max="5643" width="10.75" style="732" bestFit="1" customWidth="1"/>
    <col min="5644" max="5888" width="9" style="732"/>
    <col min="5889" max="5889" width="4.5" style="732" customWidth="1"/>
    <col min="5890" max="5890" width="4.875" style="732" customWidth="1"/>
    <col min="5891" max="5891" width="33.5" style="732" customWidth="1"/>
    <col min="5892" max="5892" width="0" style="732" hidden="1" customWidth="1"/>
    <col min="5893" max="5893" width="11" style="732" customWidth="1"/>
    <col min="5894" max="5894" width="11.25" style="732" customWidth="1"/>
    <col min="5895" max="5895" width="11.5" style="732" customWidth="1"/>
    <col min="5896" max="5896" width="11.375" style="732" customWidth="1"/>
    <col min="5897" max="5897" width="6.75" style="732" customWidth="1"/>
    <col min="5898" max="5898" width="10.5" style="732" bestFit="1" customWidth="1"/>
    <col min="5899" max="5899" width="10.75" style="732" bestFit="1" customWidth="1"/>
    <col min="5900" max="6144" width="9" style="732"/>
    <col min="6145" max="6145" width="4.5" style="732" customWidth="1"/>
    <col min="6146" max="6146" width="4.875" style="732" customWidth="1"/>
    <col min="6147" max="6147" width="33.5" style="732" customWidth="1"/>
    <col min="6148" max="6148" width="0" style="732" hidden="1" customWidth="1"/>
    <col min="6149" max="6149" width="11" style="732" customWidth="1"/>
    <col min="6150" max="6150" width="11.25" style="732" customWidth="1"/>
    <col min="6151" max="6151" width="11.5" style="732" customWidth="1"/>
    <col min="6152" max="6152" width="11.375" style="732" customWidth="1"/>
    <col min="6153" max="6153" width="6.75" style="732" customWidth="1"/>
    <col min="6154" max="6154" width="10.5" style="732" bestFit="1" customWidth="1"/>
    <col min="6155" max="6155" width="10.75" style="732" bestFit="1" customWidth="1"/>
    <col min="6156" max="6400" width="9" style="732"/>
    <col min="6401" max="6401" width="4.5" style="732" customWidth="1"/>
    <col min="6402" max="6402" width="4.875" style="732" customWidth="1"/>
    <col min="6403" max="6403" width="33.5" style="732" customWidth="1"/>
    <col min="6404" max="6404" width="0" style="732" hidden="1" customWidth="1"/>
    <col min="6405" max="6405" width="11" style="732" customWidth="1"/>
    <col min="6406" max="6406" width="11.25" style="732" customWidth="1"/>
    <col min="6407" max="6407" width="11.5" style="732" customWidth="1"/>
    <col min="6408" max="6408" width="11.375" style="732" customWidth="1"/>
    <col min="6409" max="6409" width="6.75" style="732" customWidth="1"/>
    <col min="6410" max="6410" width="10.5" style="732" bestFit="1" customWidth="1"/>
    <col min="6411" max="6411" width="10.75" style="732" bestFit="1" customWidth="1"/>
    <col min="6412" max="6656" width="9" style="732"/>
    <col min="6657" max="6657" width="4.5" style="732" customWidth="1"/>
    <col min="6658" max="6658" width="4.875" style="732" customWidth="1"/>
    <col min="6659" max="6659" width="33.5" style="732" customWidth="1"/>
    <col min="6660" max="6660" width="0" style="732" hidden="1" customWidth="1"/>
    <col min="6661" max="6661" width="11" style="732" customWidth="1"/>
    <col min="6662" max="6662" width="11.25" style="732" customWidth="1"/>
    <col min="6663" max="6663" width="11.5" style="732" customWidth="1"/>
    <col min="6664" max="6664" width="11.375" style="732" customWidth="1"/>
    <col min="6665" max="6665" width="6.75" style="732" customWidth="1"/>
    <col min="6666" max="6666" width="10.5" style="732" bestFit="1" customWidth="1"/>
    <col min="6667" max="6667" width="10.75" style="732" bestFit="1" customWidth="1"/>
    <col min="6668" max="6912" width="9" style="732"/>
    <col min="6913" max="6913" width="4.5" style="732" customWidth="1"/>
    <col min="6914" max="6914" width="4.875" style="732" customWidth="1"/>
    <col min="6915" max="6915" width="33.5" style="732" customWidth="1"/>
    <col min="6916" max="6916" width="0" style="732" hidden="1" customWidth="1"/>
    <col min="6917" max="6917" width="11" style="732" customWidth="1"/>
    <col min="6918" max="6918" width="11.25" style="732" customWidth="1"/>
    <col min="6919" max="6919" width="11.5" style="732" customWidth="1"/>
    <col min="6920" max="6920" width="11.375" style="732" customWidth="1"/>
    <col min="6921" max="6921" width="6.75" style="732" customWidth="1"/>
    <col min="6922" max="6922" width="10.5" style="732" bestFit="1" customWidth="1"/>
    <col min="6923" max="6923" width="10.75" style="732" bestFit="1" customWidth="1"/>
    <col min="6924" max="7168" width="9" style="732"/>
    <col min="7169" max="7169" width="4.5" style="732" customWidth="1"/>
    <col min="7170" max="7170" width="4.875" style="732" customWidth="1"/>
    <col min="7171" max="7171" width="33.5" style="732" customWidth="1"/>
    <col min="7172" max="7172" width="0" style="732" hidden="1" customWidth="1"/>
    <col min="7173" max="7173" width="11" style="732" customWidth="1"/>
    <col min="7174" max="7174" width="11.25" style="732" customWidth="1"/>
    <col min="7175" max="7175" width="11.5" style="732" customWidth="1"/>
    <col min="7176" max="7176" width="11.375" style="732" customWidth="1"/>
    <col min="7177" max="7177" width="6.75" style="732" customWidth="1"/>
    <col min="7178" max="7178" width="10.5" style="732" bestFit="1" customWidth="1"/>
    <col min="7179" max="7179" width="10.75" style="732" bestFit="1" customWidth="1"/>
    <col min="7180" max="7424" width="9" style="732"/>
    <col min="7425" max="7425" width="4.5" style="732" customWidth="1"/>
    <col min="7426" max="7426" width="4.875" style="732" customWidth="1"/>
    <col min="7427" max="7427" width="33.5" style="732" customWidth="1"/>
    <col min="7428" max="7428" width="0" style="732" hidden="1" customWidth="1"/>
    <col min="7429" max="7429" width="11" style="732" customWidth="1"/>
    <col min="7430" max="7430" width="11.25" style="732" customWidth="1"/>
    <col min="7431" max="7431" width="11.5" style="732" customWidth="1"/>
    <col min="7432" max="7432" width="11.375" style="732" customWidth="1"/>
    <col min="7433" max="7433" width="6.75" style="732" customWidth="1"/>
    <col min="7434" max="7434" width="10.5" style="732" bestFit="1" customWidth="1"/>
    <col min="7435" max="7435" width="10.75" style="732" bestFit="1" customWidth="1"/>
    <col min="7436" max="7680" width="9" style="732"/>
    <col min="7681" max="7681" width="4.5" style="732" customWidth="1"/>
    <col min="7682" max="7682" width="4.875" style="732" customWidth="1"/>
    <col min="7683" max="7683" width="33.5" style="732" customWidth="1"/>
    <col min="7684" max="7684" width="0" style="732" hidden="1" customWidth="1"/>
    <col min="7685" max="7685" width="11" style="732" customWidth="1"/>
    <col min="7686" max="7686" width="11.25" style="732" customWidth="1"/>
    <col min="7687" max="7687" width="11.5" style="732" customWidth="1"/>
    <col min="7688" max="7688" width="11.375" style="732" customWidth="1"/>
    <col min="7689" max="7689" width="6.75" style="732" customWidth="1"/>
    <col min="7690" max="7690" width="10.5" style="732" bestFit="1" customWidth="1"/>
    <col min="7691" max="7691" width="10.75" style="732" bestFit="1" customWidth="1"/>
    <col min="7692" max="7936" width="9" style="732"/>
    <col min="7937" max="7937" width="4.5" style="732" customWidth="1"/>
    <col min="7938" max="7938" width="4.875" style="732" customWidth="1"/>
    <col min="7939" max="7939" width="33.5" style="732" customWidth="1"/>
    <col min="7940" max="7940" width="0" style="732" hidden="1" customWidth="1"/>
    <col min="7941" max="7941" width="11" style="732" customWidth="1"/>
    <col min="7942" max="7942" width="11.25" style="732" customWidth="1"/>
    <col min="7943" max="7943" width="11.5" style="732" customWidth="1"/>
    <col min="7944" max="7944" width="11.375" style="732" customWidth="1"/>
    <col min="7945" max="7945" width="6.75" style="732" customWidth="1"/>
    <col min="7946" max="7946" width="10.5" style="732" bestFit="1" customWidth="1"/>
    <col min="7947" max="7947" width="10.75" style="732" bestFit="1" customWidth="1"/>
    <col min="7948" max="8192" width="9" style="732"/>
    <col min="8193" max="8193" width="4.5" style="732" customWidth="1"/>
    <col min="8194" max="8194" width="4.875" style="732" customWidth="1"/>
    <col min="8195" max="8195" width="33.5" style="732" customWidth="1"/>
    <col min="8196" max="8196" width="0" style="732" hidden="1" customWidth="1"/>
    <col min="8197" max="8197" width="11" style="732" customWidth="1"/>
    <col min="8198" max="8198" width="11.25" style="732" customWidth="1"/>
    <col min="8199" max="8199" width="11.5" style="732" customWidth="1"/>
    <col min="8200" max="8200" width="11.375" style="732" customWidth="1"/>
    <col min="8201" max="8201" width="6.75" style="732" customWidth="1"/>
    <col min="8202" max="8202" width="10.5" style="732" bestFit="1" customWidth="1"/>
    <col min="8203" max="8203" width="10.75" style="732" bestFit="1" customWidth="1"/>
    <col min="8204" max="8448" width="9" style="732"/>
    <col min="8449" max="8449" width="4.5" style="732" customWidth="1"/>
    <col min="8450" max="8450" width="4.875" style="732" customWidth="1"/>
    <col min="8451" max="8451" width="33.5" style="732" customWidth="1"/>
    <col min="8452" max="8452" width="0" style="732" hidden="1" customWidth="1"/>
    <col min="8453" max="8453" width="11" style="732" customWidth="1"/>
    <col min="8454" max="8454" width="11.25" style="732" customWidth="1"/>
    <col min="8455" max="8455" width="11.5" style="732" customWidth="1"/>
    <col min="8456" max="8456" width="11.375" style="732" customWidth="1"/>
    <col min="8457" max="8457" width="6.75" style="732" customWidth="1"/>
    <col min="8458" max="8458" width="10.5" style="732" bestFit="1" customWidth="1"/>
    <col min="8459" max="8459" width="10.75" style="732" bestFit="1" customWidth="1"/>
    <col min="8460" max="8704" width="9" style="732"/>
    <col min="8705" max="8705" width="4.5" style="732" customWidth="1"/>
    <col min="8706" max="8706" width="4.875" style="732" customWidth="1"/>
    <col min="8707" max="8707" width="33.5" style="732" customWidth="1"/>
    <col min="8708" max="8708" width="0" style="732" hidden="1" customWidth="1"/>
    <col min="8709" max="8709" width="11" style="732" customWidth="1"/>
    <col min="8710" max="8710" width="11.25" style="732" customWidth="1"/>
    <col min="8711" max="8711" width="11.5" style="732" customWidth="1"/>
    <col min="8712" max="8712" width="11.375" style="732" customWidth="1"/>
    <col min="8713" max="8713" width="6.75" style="732" customWidth="1"/>
    <col min="8714" max="8714" width="10.5" style="732" bestFit="1" customWidth="1"/>
    <col min="8715" max="8715" width="10.75" style="732" bestFit="1" customWidth="1"/>
    <col min="8716" max="8960" width="9" style="732"/>
    <col min="8961" max="8961" width="4.5" style="732" customWidth="1"/>
    <col min="8962" max="8962" width="4.875" style="732" customWidth="1"/>
    <col min="8963" max="8963" width="33.5" style="732" customWidth="1"/>
    <col min="8964" max="8964" width="0" style="732" hidden="1" customWidth="1"/>
    <col min="8965" max="8965" width="11" style="732" customWidth="1"/>
    <col min="8966" max="8966" width="11.25" style="732" customWidth="1"/>
    <col min="8967" max="8967" width="11.5" style="732" customWidth="1"/>
    <col min="8968" max="8968" width="11.375" style="732" customWidth="1"/>
    <col min="8969" max="8969" width="6.75" style="732" customWidth="1"/>
    <col min="8970" max="8970" width="10.5" style="732" bestFit="1" customWidth="1"/>
    <col min="8971" max="8971" width="10.75" style="732" bestFit="1" customWidth="1"/>
    <col min="8972" max="9216" width="9" style="732"/>
    <col min="9217" max="9217" width="4.5" style="732" customWidth="1"/>
    <col min="9218" max="9218" width="4.875" style="732" customWidth="1"/>
    <col min="9219" max="9219" width="33.5" style="732" customWidth="1"/>
    <col min="9220" max="9220" width="0" style="732" hidden="1" customWidth="1"/>
    <col min="9221" max="9221" width="11" style="732" customWidth="1"/>
    <col min="9222" max="9222" width="11.25" style="732" customWidth="1"/>
    <col min="9223" max="9223" width="11.5" style="732" customWidth="1"/>
    <col min="9224" max="9224" width="11.375" style="732" customWidth="1"/>
    <col min="9225" max="9225" width="6.75" style="732" customWidth="1"/>
    <col min="9226" max="9226" width="10.5" style="732" bestFit="1" customWidth="1"/>
    <col min="9227" max="9227" width="10.75" style="732" bestFit="1" customWidth="1"/>
    <col min="9228" max="9472" width="9" style="732"/>
    <col min="9473" max="9473" width="4.5" style="732" customWidth="1"/>
    <col min="9474" max="9474" width="4.875" style="732" customWidth="1"/>
    <col min="9475" max="9475" width="33.5" style="732" customWidth="1"/>
    <col min="9476" max="9476" width="0" style="732" hidden="1" customWidth="1"/>
    <col min="9477" max="9477" width="11" style="732" customWidth="1"/>
    <col min="9478" max="9478" width="11.25" style="732" customWidth="1"/>
    <col min="9479" max="9479" width="11.5" style="732" customWidth="1"/>
    <col min="9480" max="9480" width="11.375" style="732" customWidth="1"/>
    <col min="9481" max="9481" width="6.75" style="732" customWidth="1"/>
    <col min="9482" max="9482" width="10.5" style="732" bestFit="1" customWidth="1"/>
    <col min="9483" max="9483" width="10.75" style="732" bestFit="1" customWidth="1"/>
    <col min="9484" max="9728" width="9" style="732"/>
    <col min="9729" max="9729" width="4.5" style="732" customWidth="1"/>
    <col min="9730" max="9730" width="4.875" style="732" customWidth="1"/>
    <col min="9731" max="9731" width="33.5" style="732" customWidth="1"/>
    <col min="9732" max="9732" width="0" style="732" hidden="1" customWidth="1"/>
    <col min="9733" max="9733" width="11" style="732" customWidth="1"/>
    <col min="9734" max="9734" width="11.25" style="732" customWidth="1"/>
    <col min="9735" max="9735" width="11.5" style="732" customWidth="1"/>
    <col min="9736" max="9736" width="11.375" style="732" customWidth="1"/>
    <col min="9737" max="9737" width="6.75" style="732" customWidth="1"/>
    <col min="9738" max="9738" width="10.5" style="732" bestFit="1" customWidth="1"/>
    <col min="9739" max="9739" width="10.75" style="732" bestFit="1" customWidth="1"/>
    <col min="9740" max="9984" width="9" style="732"/>
    <col min="9985" max="9985" width="4.5" style="732" customWidth="1"/>
    <col min="9986" max="9986" width="4.875" style="732" customWidth="1"/>
    <col min="9987" max="9987" width="33.5" style="732" customWidth="1"/>
    <col min="9988" max="9988" width="0" style="732" hidden="1" customWidth="1"/>
    <col min="9989" max="9989" width="11" style="732" customWidth="1"/>
    <col min="9990" max="9990" width="11.25" style="732" customWidth="1"/>
    <col min="9991" max="9991" width="11.5" style="732" customWidth="1"/>
    <col min="9992" max="9992" width="11.375" style="732" customWidth="1"/>
    <col min="9993" max="9993" width="6.75" style="732" customWidth="1"/>
    <col min="9994" max="9994" width="10.5" style="732" bestFit="1" customWidth="1"/>
    <col min="9995" max="9995" width="10.75" style="732" bestFit="1" customWidth="1"/>
    <col min="9996" max="10240" width="9" style="732"/>
    <col min="10241" max="10241" width="4.5" style="732" customWidth="1"/>
    <col min="10242" max="10242" width="4.875" style="732" customWidth="1"/>
    <col min="10243" max="10243" width="33.5" style="732" customWidth="1"/>
    <col min="10244" max="10244" width="0" style="732" hidden="1" customWidth="1"/>
    <col min="10245" max="10245" width="11" style="732" customWidth="1"/>
    <col min="10246" max="10246" width="11.25" style="732" customWidth="1"/>
    <col min="10247" max="10247" width="11.5" style="732" customWidth="1"/>
    <col min="10248" max="10248" width="11.375" style="732" customWidth="1"/>
    <col min="10249" max="10249" width="6.75" style="732" customWidth="1"/>
    <col min="10250" max="10250" width="10.5" style="732" bestFit="1" customWidth="1"/>
    <col min="10251" max="10251" width="10.75" style="732" bestFit="1" customWidth="1"/>
    <col min="10252" max="10496" width="9" style="732"/>
    <col min="10497" max="10497" width="4.5" style="732" customWidth="1"/>
    <col min="10498" max="10498" width="4.875" style="732" customWidth="1"/>
    <col min="10499" max="10499" width="33.5" style="732" customWidth="1"/>
    <col min="10500" max="10500" width="0" style="732" hidden="1" customWidth="1"/>
    <col min="10501" max="10501" width="11" style="732" customWidth="1"/>
    <col min="10502" max="10502" width="11.25" style="732" customWidth="1"/>
    <col min="10503" max="10503" width="11.5" style="732" customWidth="1"/>
    <col min="10504" max="10504" width="11.375" style="732" customWidth="1"/>
    <col min="10505" max="10505" width="6.75" style="732" customWidth="1"/>
    <col min="10506" max="10506" width="10.5" style="732" bestFit="1" customWidth="1"/>
    <col min="10507" max="10507" width="10.75" style="732" bestFit="1" customWidth="1"/>
    <col min="10508" max="10752" width="9" style="732"/>
    <col min="10753" max="10753" width="4.5" style="732" customWidth="1"/>
    <col min="10754" max="10754" width="4.875" style="732" customWidth="1"/>
    <col min="10755" max="10755" width="33.5" style="732" customWidth="1"/>
    <col min="10756" max="10756" width="0" style="732" hidden="1" customWidth="1"/>
    <col min="10757" max="10757" width="11" style="732" customWidth="1"/>
    <col min="10758" max="10758" width="11.25" style="732" customWidth="1"/>
    <col min="10759" max="10759" width="11.5" style="732" customWidth="1"/>
    <col min="10760" max="10760" width="11.375" style="732" customWidth="1"/>
    <col min="10761" max="10761" width="6.75" style="732" customWidth="1"/>
    <col min="10762" max="10762" width="10.5" style="732" bestFit="1" customWidth="1"/>
    <col min="10763" max="10763" width="10.75" style="732" bestFit="1" customWidth="1"/>
    <col min="10764" max="11008" width="9" style="732"/>
    <col min="11009" max="11009" width="4.5" style="732" customWidth="1"/>
    <col min="11010" max="11010" width="4.875" style="732" customWidth="1"/>
    <col min="11011" max="11011" width="33.5" style="732" customWidth="1"/>
    <col min="11012" max="11012" width="0" style="732" hidden="1" customWidth="1"/>
    <col min="11013" max="11013" width="11" style="732" customWidth="1"/>
    <col min="11014" max="11014" width="11.25" style="732" customWidth="1"/>
    <col min="11015" max="11015" width="11.5" style="732" customWidth="1"/>
    <col min="11016" max="11016" width="11.375" style="732" customWidth="1"/>
    <col min="11017" max="11017" width="6.75" style="732" customWidth="1"/>
    <col min="11018" max="11018" width="10.5" style="732" bestFit="1" customWidth="1"/>
    <col min="11019" max="11019" width="10.75" style="732" bestFit="1" customWidth="1"/>
    <col min="11020" max="11264" width="9" style="732"/>
    <col min="11265" max="11265" width="4.5" style="732" customWidth="1"/>
    <col min="11266" max="11266" width="4.875" style="732" customWidth="1"/>
    <col min="11267" max="11267" width="33.5" style="732" customWidth="1"/>
    <col min="11268" max="11268" width="0" style="732" hidden="1" customWidth="1"/>
    <col min="11269" max="11269" width="11" style="732" customWidth="1"/>
    <col min="11270" max="11270" width="11.25" style="732" customWidth="1"/>
    <col min="11271" max="11271" width="11.5" style="732" customWidth="1"/>
    <col min="11272" max="11272" width="11.375" style="732" customWidth="1"/>
    <col min="11273" max="11273" width="6.75" style="732" customWidth="1"/>
    <col min="11274" max="11274" width="10.5" style="732" bestFit="1" customWidth="1"/>
    <col min="11275" max="11275" width="10.75" style="732" bestFit="1" customWidth="1"/>
    <col min="11276" max="11520" width="9" style="732"/>
    <col min="11521" max="11521" width="4.5" style="732" customWidth="1"/>
    <col min="11522" max="11522" width="4.875" style="732" customWidth="1"/>
    <col min="11523" max="11523" width="33.5" style="732" customWidth="1"/>
    <col min="11524" max="11524" width="0" style="732" hidden="1" customWidth="1"/>
    <col min="11525" max="11525" width="11" style="732" customWidth="1"/>
    <col min="11526" max="11526" width="11.25" style="732" customWidth="1"/>
    <col min="11527" max="11527" width="11.5" style="732" customWidth="1"/>
    <col min="11528" max="11528" width="11.375" style="732" customWidth="1"/>
    <col min="11529" max="11529" width="6.75" style="732" customWidth="1"/>
    <col min="11530" max="11530" width="10.5" style="732" bestFit="1" customWidth="1"/>
    <col min="11531" max="11531" width="10.75" style="732" bestFit="1" customWidth="1"/>
    <col min="11532" max="11776" width="9" style="732"/>
    <col min="11777" max="11777" width="4.5" style="732" customWidth="1"/>
    <col min="11778" max="11778" width="4.875" style="732" customWidth="1"/>
    <col min="11779" max="11779" width="33.5" style="732" customWidth="1"/>
    <col min="11780" max="11780" width="0" style="732" hidden="1" customWidth="1"/>
    <col min="11781" max="11781" width="11" style="732" customWidth="1"/>
    <col min="11782" max="11782" width="11.25" style="732" customWidth="1"/>
    <col min="11783" max="11783" width="11.5" style="732" customWidth="1"/>
    <col min="11784" max="11784" width="11.375" style="732" customWidth="1"/>
    <col min="11785" max="11785" width="6.75" style="732" customWidth="1"/>
    <col min="11786" max="11786" width="10.5" style="732" bestFit="1" customWidth="1"/>
    <col min="11787" max="11787" width="10.75" style="732" bestFit="1" customWidth="1"/>
    <col min="11788" max="12032" width="9" style="732"/>
    <col min="12033" max="12033" width="4.5" style="732" customWidth="1"/>
    <col min="12034" max="12034" width="4.875" style="732" customWidth="1"/>
    <col min="12035" max="12035" width="33.5" style="732" customWidth="1"/>
    <col min="12036" max="12036" width="0" style="732" hidden="1" customWidth="1"/>
    <col min="12037" max="12037" width="11" style="732" customWidth="1"/>
    <col min="12038" max="12038" width="11.25" style="732" customWidth="1"/>
    <col min="12039" max="12039" width="11.5" style="732" customWidth="1"/>
    <col min="12040" max="12040" width="11.375" style="732" customWidth="1"/>
    <col min="12041" max="12041" width="6.75" style="732" customWidth="1"/>
    <col min="12042" max="12042" width="10.5" style="732" bestFit="1" customWidth="1"/>
    <col min="12043" max="12043" width="10.75" style="732" bestFit="1" customWidth="1"/>
    <col min="12044" max="12288" width="9" style="732"/>
    <col min="12289" max="12289" width="4.5" style="732" customWidth="1"/>
    <col min="12290" max="12290" width="4.875" style="732" customWidth="1"/>
    <col min="12291" max="12291" width="33.5" style="732" customWidth="1"/>
    <col min="12292" max="12292" width="0" style="732" hidden="1" customWidth="1"/>
    <col min="12293" max="12293" width="11" style="732" customWidth="1"/>
    <col min="12294" max="12294" width="11.25" style="732" customWidth="1"/>
    <col min="12295" max="12295" width="11.5" style="732" customWidth="1"/>
    <col min="12296" max="12296" width="11.375" style="732" customWidth="1"/>
    <col min="12297" max="12297" width="6.75" style="732" customWidth="1"/>
    <col min="12298" max="12298" width="10.5" style="732" bestFit="1" customWidth="1"/>
    <col min="12299" max="12299" width="10.75" style="732" bestFit="1" customWidth="1"/>
    <col min="12300" max="12544" width="9" style="732"/>
    <col min="12545" max="12545" width="4.5" style="732" customWidth="1"/>
    <col min="12546" max="12546" width="4.875" style="732" customWidth="1"/>
    <col min="12547" max="12547" width="33.5" style="732" customWidth="1"/>
    <col min="12548" max="12548" width="0" style="732" hidden="1" customWidth="1"/>
    <col min="12549" max="12549" width="11" style="732" customWidth="1"/>
    <col min="12550" max="12550" width="11.25" style="732" customWidth="1"/>
    <col min="12551" max="12551" width="11.5" style="732" customWidth="1"/>
    <col min="12552" max="12552" width="11.375" style="732" customWidth="1"/>
    <col min="12553" max="12553" width="6.75" style="732" customWidth="1"/>
    <col min="12554" max="12554" width="10.5" style="732" bestFit="1" customWidth="1"/>
    <col min="12555" max="12555" width="10.75" style="732" bestFit="1" customWidth="1"/>
    <col min="12556" max="12800" width="9" style="732"/>
    <col min="12801" max="12801" width="4.5" style="732" customWidth="1"/>
    <col min="12802" max="12802" width="4.875" style="732" customWidth="1"/>
    <col min="12803" max="12803" width="33.5" style="732" customWidth="1"/>
    <col min="12804" max="12804" width="0" style="732" hidden="1" customWidth="1"/>
    <col min="12805" max="12805" width="11" style="732" customWidth="1"/>
    <col min="12806" max="12806" width="11.25" style="732" customWidth="1"/>
    <col min="12807" max="12807" width="11.5" style="732" customWidth="1"/>
    <col min="12808" max="12808" width="11.375" style="732" customWidth="1"/>
    <col min="12809" max="12809" width="6.75" style="732" customWidth="1"/>
    <col min="12810" max="12810" width="10.5" style="732" bestFit="1" customWidth="1"/>
    <col min="12811" max="12811" width="10.75" style="732" bestFit="1" customWidth="1"/>
    <col min="12812" max="13056" width="9" style="732"/>
    <col min="13057" max="13057" width="4.5" style="732" customWidth="1"/>
    <col min="13058" max="13058" width="4.875" style="732" customWidth="1"/>
    <col min="13059" max="13059" width="33.5" style="732" customWidth="1"/>
    <col min="13060" max="13060" width="0" style="732" hidden="1" customWidth="1"/>
    <col min="13061" max="13061" width="11" style="732" customWidth="1"/>
    <col min="13062" max="13062" width="11.25" style="732" customWidth="1"/>
    <col min="13063" max="13063" width="11.5" style="732" customWidth="1"/>
    <col min="13064" max="13064" width="11.375" style="732" customWidth="1"/>
    <col min="13065" max="13065" width="6.75" style="732" customWidth="1"/>
    <col min="13066" max="13066" width="10.5" style="732" bestFit="1" customWidth="1"/>
    <col min="13067" max="13067" width="10.75" style="732" bestFit="1" customWidth="1"/>
    <col min="13068" max="13312" width="9" style="732"/>
    <col min="13313" max="13313" width="4.5" style="732" customWidth="1"/>
    <col min="13314" max="13314" width="4.875" style="732" customWidth="1"/>
    <col min="13315" max="13315" width="33.5" style="732" customWidth="1"/>
    <col min="13316" max="13316" width="0" style="732" hidden="1" customWidth="1"/>
    <col min="13317" max="13317" width="11" style="732" customWidth="1"/>
    <col min="13318" max="13318" width="11.25" style="732" customWidth="1"/>
    <col min="13319" max="13319" width="11.5" style="732" customWidth="1"/>
    <col min="13320" max="13320" width="11.375" style="732" customWidth="1"/>
    <col min="13321" max="13321" width="6.75" style="732" customWidth="1"/>
    <col min="13322" max="13322" width="10.5" style="732" bestFit="1" customWidth="1"/>
    <col min="13323" max="13323" width="10.75" style="732" bestFit="1" customWidth="1"/>
    <col min="13324" max="13568" width="9" style="732"/>
    <col min="13569" max="13569" width="4.5" style="732" customWidth="1"/>
    <col min="13570" max="13570" width="4.875" style="732" customWidth="1"/>
    <col min="13571" max="13571" width="33.5" style="732" customWidth="1"/>
    <col min="13572" max="13572" width="0" style="732" hidden="1" customWidth="1"/>
    <col min="13573" max="13573" width="11" style="732" customWidth="1"/>
    <col min="13574" max="13574" width="11.25" style="732" customWidth="1"/>
    <col min="13575" max="13575" width="11.5" style="732" customWidth="1"/>
    <col min="13576" max="13576" width="11.375" style="732" customWidth="1"/>
    <col min="13577" max="13577" width="6.75" style="732" customWidth="1"/>
    <col min="13578" max="13578" width="10.5" style="732" bestFit="1" customWidth="1"/>
    <col min="13579" max="13579" width="10.75" style="732" bestFit="1" customWidth="1"/>
    <col min="13580" max="13824" width="9" style="732"/>
    <col min="13825" max="13825" width="4.5" style="732" customWidth="1"/>
    <col min="13826" max="13826" width="4.875" style="732" customWidth="1"/>
    <col min="13827" max="13827" width="33.5" style="732" customWidth="1"/>
    <col min="13828" max="13828" width="0" style="732" hidden="1" customWidth="1"/>
    <col min="13829" max="13829" width="11" style="732" customWidth="1"/>
    <col min="13830" max="13830" width="11.25" style="732" customWidth="1"/>
    <col min="13831" max="13831" width="11.5" style="732" customWidth="1"/>
    <col min="13832" max="13832" width="11.375" style="732" customWidth="1"/>
    <col min="13833" max="13833" width="6.75" style="732" customWidth="1"/>
    <col min="13834" max="13834" width="10.5" style="732" bestFit="1" customWidth="1"/>
    <col min="13835" max="13835" width="10.75" style="732" bestFit="1" customWidth="1"/>
    <col min="13836" max="14080" width="9" style="732"/>
    <col min="14081" max="14081" width="4.5" style="732" customWidth="1"/>
    <col min="14082" max="14082" width="4.875" style="732" customWidth="1"/>
    <col min="14083" max="14083" width="33.5" style="732" customWidth="1"/>
    <col min="14084" max="14084" width="0" style="732" hidden="1" customWidth="1"/>
    <col min="14085" max="14085" width="11" style="732" customWidth="1"/>
    <col min="14086" max="14086" width="11.25" style="732" customWidth="1"/>
    <col min="14087" max="14087" width="11.5" style="732" customWidth="1"/>
    <col min="14088" max="14088" width="11.375" style="732" customWidth="1"/>
    <col min="14089" max="14089" width="6.75" style="732" customWidth="1"/>
    <col min="14090" max="14090" width="10.5" style="732" bestFit="1" customWidth="1"/>
    <col min="14091" max="14091" width="10.75" style="732" bestFit="1" customWidth="1"/>
    <col min="14092" max="14336" width="9" style="732"/>
    <col min="14337" max="14337" width="4.5" style="732" customWidth="1"/>
    <col min="14338" max="14338" width="4.875" style="732" customWidth="1"/>
    <col min="14339" max="14339" width="33.5" style="732" customWidth="1"/>
    <col min="14340" max="14340" width="0" style="732" hidden="1" customWidth="1"/>
    <col min="14341" max="14341" width="11" style="732" customWidth="1"/>
    <col min="14342" max="14342" width="11.25" style="732" customWidth="1"/>
    <col min="14343" max="14343" width="11.5" style="732" customWidth="1"/>
    <col min="14344" max="14344" width="11.375" style="732" customWidth="1"/>
    <col min="14345" max="14345" width="6.75" style="732" customWidth="1"/>
    <col min="14346" max="14346" width="10.5" style="732" bestFit="1" customWidth="1"/>
    <col min="14347" max="14347" width="10.75" style="732" bestFit="1" customWidth="1"/>
    <col min="14348" max="14592" width="9" style="732"/>
    <col min="14593" max="14593" width="4.5" style="732" customWidth="1"/>
    <col min="14594" max="14594" width="4.875" style="732" customWidth="1"/>
    <col min="14595" max="14595" width="33.5" style="732" customWidth="1"/>
    <col min="14596" max="14596" width="0" style="732" hidden="1" customWidth="1"/>
    <col min="14597" max="14597" width="11" style="732" customWidth="1"/>
    <col min="14598" max="14598" width="11.25" style="732" customWidth="1"/>
    <col min="14599" max="14599" width="11.5" style="732" customWidth="1"/>
    <col min="14600" max="14600" width="11.375" style="732" customWidth="1"/>
    <col min="14601" max="14601" width="6.75" style="732" customWidth="1"/>
    <col min="14602" max="14602" width="10.5" style="732" bestFit="1" customWidth="1"/>
    <col min="14603" max="14603" width="10.75" style="732" bestFit="1" customWidth="1"/>
    <col min="14604" max="14848" width="9" style="732"/>
    <col min="14849" max="14849" width="4.5" style="732" customWidth="1"/>
    <col min="14850" max="14850" width="4.875" style="732" customWidth="1"/>
    <col min="14851" max="14851" width="33.5" style="732" customWidth="1"/>
    <col min="14852" max="14852" width="0" style="732" hidden="1" customWidth="1"/>
    <col min="14853" max="14853" width="11" style="732" customWidth="1"/>
    <col min="14854" max="14854" width="11.25" style="732" customWidth="1"/>
    <col min="14855" max="14855" width="11.5" style="732" customWidth="1"/>
    <col min="14856" max="14856" width="11.375" style="732" customWidth="1"/>
    <col min="14857" max="14857" width="6.75" style="732" customWidth="1"/>
    <col min="14858" max="14858" width="10.5" style="732" bestFit="1" customWidth="1"/>
    <col min="14859" max="14859" width="10.75" style="732" bestFit="1" customWidth="1"/>
    <col min="14860" max="15104" width="9" style="732"/>
    <col min="15105" max="15105" width="4.5" style="732" customWidth="1"/>
    <col min="15106" max="15106" width="4.875" style="732" customWidth="1"/>
    <col min="15107" max="15107" width="33.5" style="732" customWidth="1"/>
    <col min="15108" max="15108" width="0" style="732" hidden="1" customWidth="1"/>
    <col min="15109" max="15109" width="11" style="732" customWidth="1"/>
    <col min="15110" max="15110" width="11.25" style="732" customWidth="1"/>
    <col min="15111" max="15111" width="11.5" style="732" customWidth="1"/>
    <col min="15112" max="15112" width="11.375" style="732" customWidth="1"/>
    <col min="15113" max="15113" width="6.75" style="732" customWidth="1"/>
    <col min="15114" max="15114" width="10.5" style="732" bestFit="1" customWidth="1"/>
    <col min="15115" max="15115" width="10.75" style="732" bestFit="1" customWidth="1"/>
    <col min="15116" max="15360" width="9" style="732"/>
    <col min="15361" max="15361" width="4.5" style="732" customWidth="1"/>
    <col min="15362" max="15362" width="4.875" style="732" customWidth="1"/>
    <col min="15363" max="15363" width="33.5" style="732" customWidth="1"/>
    <col min="15364" max="15364" width="0" style="732" hidden="1" customWidth="1"/>
    <col min="15365" max="15365" width="11" style="732" customWidth="1"/>
    <col min="15366" max="15366" width="11.25" style="732" customWidth="1"/>
    <col min="15367" max="15367" width="11.5" style="732" customWidth="1"/>
    <col min="15368" max="15368" width="11.375" style="732" customWidth="1"/>
    <col min="15369" max="15369" width="6.75" style="732" customWidth="1"/>
    <col min="15370" max="15370" width="10.5" style="732" bestFit="1" customWidth="1"/>
    <col min="15371" max="15371" width="10.75" style="732" bestFit="1" customWidth="1"/>
    <col min="15372" max="15616" width="9" style="732"/>
    <col min="15617" max="15617" width="4.5" style="732" customWidth="1"/>
    <col min="15618" max="15618" width="4.875" style="732" customWidth="1"/>
    <col min="15619" max="15619" width="33.5" style="732" customWidth="1"/>
    <col min="15620" max="15620" width="0" style="732" hidden="1" customWidth="1"/>
    <col min="15621" max="15621" width="11" style="732" customWidth="1"/>
    <col min="15622" max="15622" width="11.25" style="732" customWidth="1"/>
    <col min="15623" max="15623" width="11.5" style="732" customWidth="1"/>
    <col min="15624" max="15624" width="11.375" style="732" customWidth="1"/>
    <col min="15625" max="15625" width="6.75" style="732" customWidth="1"/>
    <col min="15626" max="15626" width="10.5" style="732" bestFit="1" customWidth="1"/>
    <col min="15627" max="15627" width="10.75" style="732" bestFit="1" customWidth="1"/>
    <col min="15628" max="15872" width="9" style="732"/>
    <col min="15873" max="15873" width="4.5" style="732" customWidth="1"/>
    <col min="15874" max="15874" width="4.875" style="732" customWidth="1"/>
    <col min="15875" max="15875" width="33.5" style="732" customWidth="1"/>
    <col min="15876" max="15876" width="0" style="732" hidden="1" customWidth="1"/>
    <col min="15877" max="15877" width="11" style="732" customWidth="1"/>
    <col min="15878" max="15878" width="11.25" style="732" customWidth="1"/>
    <col min="15879" max="15879" width="11.5" style="732" customWidth="1"/>
    <col min="15880" max="15880" width="11.375" style="732" customWidth="1"/>
    <col min="15881" max="15881" width="6.75" style="732" customWidth="1"/>
    <col min="15882" max="15882" width="10.5" style="732" bestFit="1" customWidth="1"/>
    <col min="15883" max="15883" width="10.75" style="732" bestFit="1" customWidth="1"/>
    <col min="15884" max="16128" width="9" style="732"/>
    <col min="16129" max="16129" width="4.5" style="732" customWidth="1"/>
    <col min="16130" max="16130" width="4.875" style="732" customWidth="1"/>
    <col min="16131" max="16131" width="33.5" style="732" customWidth="1"/>
    <col min="16132" max="16132" width="0" style="732" hidden="1" customWidth="1"/>
    <col min="16133" max="16133" width="11" style="732" customWidth="1"/>
    <col min="16134" max="16134" width="11.25" style="732" customWidth="1"/>
    <col min="16135" max="16135" width="11.5" style="732" customWidth="1"/>
    <col min="16136" max="16136" width="11.375" style="732" customWidth="1"/>
    <col min="16137" max="16137" width="6.75" style="732" customWidth="1"/>
    <col min="16138" max="16138" width="10.5" style="732" bestFit="1" customWidth="1"/>
    <col min="16139" max="16139" width="10.75" style="732" bestFit="1" customWidth="1"/>
    <col min="16140" max="16384" width="9" style="732"/>
  </cols>
  <sheetData>
    <row r="1" spans="1:13" ht="18.75">
      <c r="A1" s="1134" t="s">
        <v>189</v>
      </c>
      <c r="B1" s="1134"/>
      <c r="C1" s="1134"/>
      <c r="D1" s="1134"/>
      <c r="E1" s="1134"/>
      <c r="F1" s="1134"/>
      <c r="G1" s="1134"/>
      <c r="H1" s="1134"/>
      <c r="I1" s="1134"/>
    </row>
    <row r="2" spans="1:13" ht="18.75">
      <c r="A2" s="1134" t="s">
        <v>697</v>
      </c>
      <c r="B2" s="1134"/>
      <c r="C2" s="1134"/>
      <c r="D2" s="1134"/>
      <c r="E2" s="1134"/>
      <c r="F2" s="1134"/>
      <c r="G2" s="1134"/>
      <c r="H2" s="1134"/>
      <c r="I2" s="1134"/>
    </row>
    <row r="3" spans="1:13" ht="18.75">
      <c r="A3" s="1134" t="str">
        <f>+[28]สรุป!A3</f>
        <v xml:space="preserve">ณ วันที่  31 ธันวาคม 2565 </v>
      </c>
      <c r="B3" s="1134"/>
      <c r="C3" s="1134"/>
      <c r="D3" s="1134"/>
      <c r="E3" s="1134"/>
      <c r="F3" s="1134"/>
      <c r="G3" s="1134"/>
      <c r="H3" s="1134"/>
      <c r="I3" s="1134"/>
    </row>
    <row r="4" spans="1:13" s="733" customFormat="1" ht="9" customHeight="1">
      <c r="B4" s="734"/>
      <c r="C4" s="735"/>
      <c r="D4" s="736"/>
      <c r="E4" s="737"/>
      <c r="F4" s="738"/>
      <c r="G4" s="739"/>
      <c r="H4" s="739"/>
    </row>
    <row r="5" spans="1:13" s="744" customFormat="1" ht="31.5" customHeight="1">
      <c r="A5" s="740" t="s">
        <v>698</v>
      </c>
      <c r="B5" s="1135" t="s">
        <v>668</v>
      </c>
      <c r="C5" s="1136"/>
      <c r="D5" s="741" t="s">
        <v>699</v>
      </c>
      <c r="E5" s="742" t="s">
        <v>701</v>
      </c>
      <c r="F5" s="742" t="s">
        <v>702</v>
      </c>
      <c r="G5" s="743" t="s">
        <v>127</v>
      </c>
      <c r="H5" s="743" t="s">
        <v>206</v>
      </c>
      <c r="I5" s="740" t="s">
        <v>703</v>
      </c>
    </row>
    <row r="6" spans="1:13" s="753" customFormat="1" ht="16.5" thickBot="1">
      <c r="A6" s="745"/>
      <c r="B6" s="746"/>
      <c r="C6" s="747" t="s">
        <v>704</v>
      </c>
      <c r="D6" s="748"/>
      <c r="E6" s="749">
        <f>+E7+E1226</f>
        <v>3975084</v>
      </c>
      <c r="F6" s="749">
        <f>+F7+F1226</f>
        <v>7800</v>
      </c>
      <c r="G6" s="749">
        <f>+G7+G1226</f>
        <v>365413.32</v>
      </c>
      <c r="H6" s="749">
        <f>+H7+H1226</f>
        <v>3601870.68</v>
      </c>
      <c r="I6" s="750">
        <f>G6*100/E6</f>
        <v>9.1925936659451732</v>
      </c>
      <c r="J6" s="751"/>
      <c r="K6" s="752"/>
    </row>
    <row r="7" spans="1:13" s="762" customFormat="1" ht="16.5" outlineLevel="1" thickTop="1">
      <c r="A7" s="754">
        <v>1</v>
      </c>
      <c r="B7" s="755" t="s">
        <v>671</v>
      </c>
      <c r="C7" s="756"/>
      <c r="D7" s="757"/>
      <c r="E7" s="758">
        <f>+E8+E140+E219+E299+E429+E552+E675+E738+E846+E910+E988+E1102+E1217</f>
        <v>3075084</v>
      </c>
      <c r="F7" s="758">
        <f>+F8+F140+F219+F299+F429+F552+F675+F738+F846+F910+F988+F1102+F1217</f>
        <v>7800</v>
      </c>
      <c r="G7" s="758">
        <f>+G8+G140+G219+G299+G429+G552+G675+G738+G846+G910+G988+G1102+G1217</f>
        <v>365413.32</v>
      </c>
      <c r="H7" s="758">
        <f>+H8+H140+H219+H299+H429+H552+H675+H738+H846+H910+H988+H1102+H1217</f>
        <v>2701870.68</v>
      </c>
      <c r="I7" s="759">
        <f>G7*100/E7</f>
        <v>11.883035390252754</v>
      </c>
      <c r="J7" s="760"/>
      <c r="K7" s="761"/>
    </row>
    <row r="8" spans="1:13" s="770" customFormat="1" outlineLevel="1">
      <c r="A8" s="763"/>
      <c r="B8" s="764" t="s">
        <v>672</v>
      </c>
      <c r="C8" s="765"/>
      <c r="D8" s="766"/>
      <c r="E8" s="767">
        <f>+E9+E26+E42+E59+E75+E91+E107+E123</f>
        <v>602630</v>
      </c>
      <c r="F8" s="767">
        <f>+F9+F26+F42+F59+F75+F91+F107+F123</f>
        <v>0</v>
      </c>
      <c r="G8" s="767">
        <f>+G9+G26+G42+G59+G75+G91+G107+G123</f>
        <v>135800</v>
      </c>
      <c r="H8" s="767">
        <f>+H9+H26+H42+H59+H75+H91+H107+H123</f>
        <v>466830</v>
      </c>
      <c r="I8" s="768">
        <f>SUM(I9:I123)</f>
        <v>0</v>
      </c>
      <c r="J8" s="769"/>
    </row>
    <row r="9" spans="1:13" s="770" customFormat="1" ht="15" outlineLevel="2">
      <c r="A9" s="771"/>
      <c r="B9" s="772" t="s">
        <v>706</v>
      </c>
      <c r="C9" s="773" t="s">
        <v>472</v>
      </c>
      <c r="D9" s="774">
        <v>2100200154</v>
      </c>
      <c r="E9" s="775">
        <f>SUM(E10:E25)</f>
        <v>417960</v>
      </c>
      <c r="F9" s="776">
        <f>+[28]เรียงตามเขต!H9</f>
        <v>0</v>
      </c>
      <c r="G9" s="776">
        <f>+[28]เรียงตามเขต!I9</f>
        <v>135800</v>
      </c>
      <c r="H9" s="776">
        <f>E9-F9-G9</f>
        <v>282160</v>
      </c>
      <c r="I9" s="776">
        <v>0</v>
      </c>
      <c r="K9" s="777"/>
      <c r="M9" s="778"/>
    </row>
    <row r="10" spans="1:13" s="783" customFormat="1" ht="45.75" customHeight="1" outlineLevel="2">
      <c r="A10" s="779"/>
      <c r="B10" s="1132" t="s">
        <v>819</v>
      </c>
      <c r="C10" s="1133"/>
      <c r="D10" s="780"/>
      <c r="E10" s="781">
        <f>+[28]เรียงตามเขต!G9</f>
        <v>417960</v>
      </c>
      <c r="F10" s="782">
        <f>+[28]เรียงตามเขต!H9</f>
        <v>0</v>
      </c>
      <c r="G10" s="782">
        <f>+[28]เรียงตามเขต!I9</f>
        <v>135800</v>
      </c>
      <c r="H10" s="782"/>
      <c r="I10" s="782"/>
      <c r="K10" s="777"/>
    </row>
    <row r="11" spans="1:13" s="783" customFormat="1" ht="29.25" hidden="1" customHeight="1" outlineLevel="2">
      <c r="A11" s="779"/>
      <c r="B11" s="1132"/>
      <c r="C11" s="1133"/>
      <c r="D11" s="780"/>
      <c r="E11" s="781"/>
      <c r="F11" s="782"/>
      <c r="G11" s="782"/>
      <c r="H11" s="782"/>
      <c r="I11" s="782"/>
      <c r="K11" s="777"/>
    </row>
    <row r="12" spans="1:13" s="783" customFormat="1" ht="18" hidden="1" customHeight="1" outlineLevel="2">
      <c r="A12" s="779"/>
      <c r="B12" s="1132"/>
      <c r="C12" s="1133"/>
      <c r="D12" s="780"/>
      <c r="E12" s="781"/>
      <c r="F12" s="782"/>
      <c r="G12" s="782"/>
      <c r="H12" s="782"/>
      <c r="I12" s="782"/>
      <c r="K12" s="777"/>
    </row>
    <row r="13" spans="1:13" s="783" customFormat="1" ht="18" hidden="1" customHeight="1" outlineLevel="2">
      <c r="A13" s="779"/>
      <c r="B13" s="1132"/>
      <c r="C13" s="1133"/>
      <c r="D13" s="780"/>
      <c r="E13" s="781"/>
      <c r="F13" s="782"/>
      <c r="G13" s="782"/>
      <c r="H13" s="782"/>
      <c r="I13" s="782"/>
      <c r="K13" s="777"/>
    </row>
    <row r="14" spans="1:13" s="787" customFormat="1" ht="15.75" hidden="1" customHeight="1" outlineLevel="2">
      <c r="A14" s="779"/>
      <c r="B14" s="1132"/>
      <c r="C14" s="1133"/>
      <c r="D14" s="784"/>
      <c r="E14" s="785"/>
      <c r="F14" s="786"/>
      <c r="G14" s="786"/>
      <c r="H14" s="786"/>
      <c r="I14" s="786"/>
      <c r="K14" s="777"/>
    </row>
    <row r="15" spans="1:13" s="787" customFormat="1" ht="48.75" hidden="1" customHeight="1" outlineLevel="2">
      <c r="A15" s="779"/>
      <c r="B15" s="1132"/>
      <c r="C15" s="1133"/>
      <c r="D15" s="784"/>
      <c r="E15" s="785"/>
      <c r="F15" s="786"/>
      <c r="G15" s="786"/>
      <c r="H15" s="786"/>
      <c r="I15" s="786"/>
      <c r="K15" s="777"/>
    </row>
    <row r="16" spans="1:13" s="787" customFormat="1" ht="33" hidden="1" customHeight="1" outlineLevel="2">
      <c r="A16" s="779"/>
      <c r="B16" s="1132"/>
      <c r="C16" s="1133"/>
      <c r="D16" s="784"/>
      <c r="E16" s="785"/>
      <c r="F16" s="786"/>
      <c r="G16" s="786"/>
      <c r="H16" s="786"/>
      <c r="I16" s="786"/>
      <c r="K16" s="777"/>
    </row>
    <row r="17" spans="1:11" s="787" customFormat="1" ht="33" hidden="1" customHeight="1" outlineLevel="2">
      <c r="A17" s="779"/>
      <c r="B17" s="1132"/>
      <c r="C17" s="1133"/>
      <c r="D17" s="784"/>
      <c r="E17" s="785"/>
      <c r="F17" s="786"/>
      <c r="G17" s="786"/>
      <c r="H17" s="786"/>
      <c r="I17" s="786"/>
      <c r="K17" s="777"/>
    </row>
    <row r="18" spans="1:11" s="790" customFormat="1" ht="15" hidden="1" outlineLevel="2">
      <c r="A18" s="779"/>
      <c r="B18" s="1132"/>
      <c r="C18" s="1133"/>
      <c r="D18" s="788"/>
      <c r="E18" s="789"/>
      <c r="F18" s="786"/>
      <c r="G18" s="786"/>
      <c r="H18" s="786"/>
      <c r="I18" s="786"/>
      <c r="K18" s="777"/>
    </row>
    <row r="19" spans="1:11" s="790" customFormat="1" ht="15" hidden="1" outlineLevel="2">
      <c r="A19" s="779"/>
      <c r="B19" s="1132"/>
      <c r="C19" s="1133"/>
      <c r="D19" s="788"/>
      <c r="E19" s="789"/>
      <c r="F19" s="786"/>
      <c r="G19" s="786"/>
      <c r="H19" s="786"/>
      <c r="I19" s="786"/>
      <c r="K19" s="777"/>
    </row>
    <row r="20" spans="1:11" s="790" customFormat="1" ht="36" hidden="1" customHeight="1" outlineLevel="2">
      <c r="A20" s="779"/>
      <c r="B20" s="1132"/>
      <c r="C20" s="1133"/>
      <c r="D20" s="788"/>
      <c r="E20" s="789"/>
      <c r="F20" s="786"/>
      <c r="G20" s="786"/>
      <c r="H20" s="786"/>
      <c r="I20" s="786"/>
      <c r="K20" s="777"/>
    </row>
    <row r="21" spans="1:11" s="790" customFormat="1" ht="15" hidden="1" outlineLevel="2">
      <c r="A21" s="779"/>
      <c r="B21" s="1132"/>
      <c r="C21" s="1133"/>
      <c r="D21" s="788"/>
      <c r="E21" s="789"/>
      <c r="F21" s="786"/>
      <c r="G21" s="786"/>
      <c r="H21" s="786"/>
      <c r="I21" s="786"/>
      <c r="K21" s="777"/>
    </row>
    <row r="22" spans="1:11" s="790" customFormat="1" ht="30" hidden="1" customHeight="1" outlineLevel="2">
      <c r="A22" s="779"/>
      <c r="B22" s="1132"/>
      <c r="C22" s="1133"/>
      <c r="D22" s="788"/>
      <c r="E22" s="789"/>
      <c r="F22" s="786"/>
      <c r="G22" s="786"/>
      <c r="H22" s="786"/>
      <c r="I22" s="786"/>
      <c r="K22" s="777"/>
    </row>
    <row r="23" spans="1:11" s="790" customFormat="1" ht="28.5" hidden="1" customHeight="1" outlineLevel="2">
      <c r="A23" s="779"/>
      <c r="B23" s="1132"/>
      <c r="C23" s="1133"/>
      <c r="D23" s="788"/>
      <c r="E23" s="789"/>
      <c r="F23" s="786"/>
      <c r="G23" s="786"/>
      <c r="H23" s="786"/>
      <c r="I23" s="786"/>
      <c r="K23" s="777"/>
    </row>
    <row r="24" spans="1:11" s="790" customFormat="1" ht="28.5" hidden="1" customHeight="1" outlineLevel="2">
      <c r="A24" s="779"/>
      <c r="B24" s="1132"/>
      <c r="C24" s="1133"/>
      <c r="D24" s="788"/>
      <c r="E24" s="789"/>
      <c r="F24" s="786"/>
      <c r="G24" s="786"/>
      <c r="H24" s="786"/>
      <c r="I24" s="786"/>
      <c r="K24" s="777"/>
    </row>
    <row r="25" spans="1:11" s="790" customFormat="1" ht="15" hidden="1" outlineLevel="2">
      <c r="A25" s="791"/>
      <c r="B25" s="1139"/>
      <c r="C25" s="1140"/>
      <c r="D25" s="792"/>
      <c r="E25" s="792"/>
      <c r="F25" s="793"/>
      <c r="G25" s="793"/>
      <c r="H25" s="793"/>
      <c r="I25" s="793"/>
      <c r="K25" s="777"/>
    </row>
    <row r="26" spans="1:11" s="770" customFormat="1" ht="15" outlineLevel="2">
      <c r="A26" s="771"/>
      <c r="B26" s="772" t="s">
        <v>707</v>
      </c>
      <c r="C26" s="773" t="s">
        <v>474</v>
      </c>
      <c r="D26" s="774">
        <v>2100200156</v>
      </c>
      <c r="E26" s="775">
        <f>SUM(E27:E41)</f>
        <v>15000</v>
      </c>
      <c r="F26" s="776">
        <f>+[28]เรียงตามเขต!H10</f>
        <v>0</v>
      </c>
      <c r="G26" s="776">
        <f>+[28]เรียงตามเขต!I10</f>
        <v>0</v>
      </c>
      <c r="H26" s="776">
        <f>E26-F26-G26</f>
        <v>15000</v>
      </c>
      <c r="I26" s="776">
        <v>0</v>
      </c>
      <c r="K26" s="777"/>
    </row>
    <row r="27" spans="1:11" s="783" customFormat="1" ht="47.25" customHeight="1" outlineLevel="2">
      <c r="A27" s="779"/>
      <c r="B27" s="1132" t="s">
        <v>819</v>
      </c>
      <c r="C27" s="1133"/>
      <c r="D27" s="780"/>
      <c r="E27" s="781">
        <f>+[28]เรียงตามเขต!G10</f>
        <v>15000</v>
      </c>
      <c r="F27" s="782">
        <f>+[28]เรียงตามเขต!H10</f>
        <v>0</v>
      </c>
      <c r="G27" s="782">
        <f>+[28]เรียงตามเขต!I10</f>
        <v>0</v>
      </c>
      <c r="H27" s="782"/>
      <c r="I27" s="782"/>
      <c r="K27" s="777"/>
    </row>
    <row r="28" spans="1:11" s="783" customFormat="1" ht="15" hidden="1" outlineLevel="2">
      <c r="A28" s="779"/>
      <c r="B28" s="1132"/>
      <c r="C28" s="1133"/>
      <c r="D28" s="780"/>
      <c r="E28" s="781"/>
      <c r="F28" s="782"/>
      <c r="G28" s="782"/>
      <c r="H28" s="782"/>
      <c r="I28" s="782"/>
      <c r="K28" s="777"/>
    </row>
    <row r="29" spans="1:11" s="783" customFormat="1" ht="18" hidden="1" customHeight="1" outlineLevel="2">
      <c r="A29" s="779"/>
      <c r="B29" s="1132"/>
      <c r="C29" s="1133"/>
      <c r="D29" s="780"/>
      <c r="E29" s="781"/>
      <c r="F29" s="782"/>
      <c r="G29" s="782"/>
      <c r="H29" s="782"/>
      <c r="I29" s="782"/>
      <c r="K29" s="777"/>
    </row>
    <row r="30" spans="1:11" s="783" customFormat="1" ht="18" hidden="1" customHeight="1" outlineLevel="2">
      <c r="A30" s="779"/>
      <c r="B30" s="1132"/>
      <c r="C30" s="1133"/>
      <c r="D30" s="780"/>
      <c r="E30" s="781"/>
      <c r="F30" s="782"/>
      <c r="G30" s="782"/>
      <c r="H30" s="782"/>
      <c r="I30" s="782"/>
      <c r="K30" s="777"/>
    </row>
    <row r="31" spans="1:11" s="787" customFormat="1" ht="18.75" hidden="1" customHeight="1" outlineLevel="2">
      <c r="A31" s="779"/>
      <c r="B31" s="1132"/>
      <c r="C31" s="1133"/>
      <c r="D31" s="784"/>
      <c r="E31" s="785"/>
      <c r="F31" s="786"/>
      <c r="G31" s="786"/>
      <c r="H31" s="786"/>
      <c r="I31" s="786"/>
      <c r="K31" s="777"/>
    </row>
    <row r="32" spans="1:11" s="787" customFormat="1" ht="48.75" hidden="1" customHeight="1" outlineLevel="2">
      <c r="A32" s="779"/>
      <c r="B32" s="1132"/>
      <c r="C32" s="1133"/>
      <c r="D32" s="784"/>
      <c r="E32" s="785"/>
      <c r="F32" s="786"/>
      <c r="G32" s="786"/>
      <c r="H32" s="786"/>
      <c r="I32" s="786"/>
      <c r="K32" s="777"/>
    </row>
    <row r="33" spans="1:11" s="787" customFormat="1" ht="33" hidden="1" customHeight="1" outlineLevel="2">
      <c r="A33" s="779"/>
      <c r="B33" s="1132"/>
      <c r="C33" s="1133"/>
      <c r="D33" s="784"/>
      <c r="E33" s="785"/>
      <c r="F33" s="786"/>
      <c r="G33" s="786"/>
      <c r="H33" s="786"/>
      <c r="I33" s="786"/>
      <c r="K33" s="777"/>
    </row>
    <row r="34" spans="1:11" s="787" customFormat="1" ht="33" hidden="1" customHeight="1" outlineLevel="2">
      <c r="A34" s="779"/>
      <c r="B34" s="1132"/>
      <c r="C34" s="1133"/>
      <c r="D34" s="784"/>
      <c r="E34" s="785"/>
      <c r="F34" s="786"/>
      <c r="G34" s="786"/>
      <c r="H34" s="786"/>
      <c r="I34" s="786"/>
      <c r="K34" s="777"/>
    </row>
    <row r="35" spans="1:11" s="790" customFormat="1" ht="15" hidden="1" outlineLevel="2">
      <c r="A35" s="779"/>
      <c r="B35" s="1132"/>
      <c r="C35" s="1133"/>
      <c r="D35" s="788"/>
      <c r="E35" s="789"/>
      <c r="F35" s="786"/>
      <c r="G35" s="786"/>
      <c r="H35" s="786"/>
      <c r="I35" s="786"/>
      <c r="K35" s="777"/>
    </row>
    <row r="36" spans="1:11" s="790" customFormat="1" ht="36" hidden="1" customHeight="1" outlineLevel="2">
      <c r="A36" s="779"/>
      <c r="B36" s="1132"/>
      <c r="C36" s="1133"/>
      <c r="D36" s="788"/>
      <c r="E36" s="789"/>
      <c r="F36" s="786"/>
      <c r="G36" s="786"/>
      <c r="H36" s="786"/>
      <c r="I36" s="786"/>
      <c r="K36" s="777"/>
    </row>
    <row r="37" spans="1:11" s="790" customFormat="1" ht="15" hidden="1" outlineLevel="2">
      <c r="A37" s="779"/>
      <c r="B37" s="1132"/>
      <c r="C37" s="1133"/>
      <c r="D37" s="788"/>
      <c r="E37" s="789"/>
      <c r="F37" s="786"/>
      <c r="G37" s="786"/>
      <c r="H37" s="786"/>
      <c r="I37" s="786"/>
      <c r="K37" s="777"/>
    </row>
    <row r="38" spans="1:11" s="790" customFormat="1" ht="30" hidden="1" customHeight="1" outlineLevel="2">
      <c r="A38" s="779"/>
      <c r="B38" s="1132"/>
      <c r="C38" s="1133"/>
      <c r="D38" s="788"/>
      <c r="E38" s="789"/>
      <c r="F38" s="786"/>
      <c r="G38" s="786"/>
      <c r="H38" s="786"/>
      <c r="I38" s="786"/>
      <c r="K38" s="777"/>
    </row>
    <row r="39" spans="1:11" s="790" customFormat="1" ht="28.5" hidden="1" customHeight="1" outlineLevel="2">
      <c r="A39" s="779"/>
      <c r="B39" s="1132"/>
      <c r="C39" s="1133"/>
      <c r="D39" s="788"/>
      <c r="E39" s="789"/>
      <c r="F39" s="786"/>
      <c r="G39" s="786"/>
      <c r="H39" s="786"/>
      <c r="I39" s="786"/>
      <c r="K39" s="777"/>
    </row>
    <row r="40" spans="1:11" s="790" customFormat="1" ht="28.5" hidden="1" customHeight="1" outlineLevel="2">
      <c r="A40" s="779"/>
      <c r="B40" s="1132"/>
      <c r="C40" s="1133"/>
      <c r="D40" s="788"/>
      <c r="E40" s="789"/>
      <c r="F40" s="786"/>
      <c r="G40" s="786"/>
      <c r="H40" s="786"/>
      <c r="I40" s="786"/>
      <c r="K40" s="777"/>
    </row>
    <row r="41" spans="1:11" s="798" customFormat="1" ht="15" hidden="1" outlineLevel="2">
      <c r="A41" s="794"/>
      <c r="B41" s="1137"/>
      <c r="C41" s="1138"/>
      <c r="D41" s="795"/>
      <c r="E41" s="796"/>
      <c r="F41" s="797"/>
      <c r="G41" s="797"/>
      <c r="H41" s="797"/>
      <c r="I41" s="797"/>
      <c r="K41" s="777"/>
    </row>
    <row r="42" spans="1:11" s="770" customFormat="1" ht="15" hidden="1" outlineLevel="2">
      <c r="A42" s="771"/>
      <c r="B42" s="772" t="s">
        <v>708</v>
      </c>
      <c r="C42" s="773" t="s">
        <v>476</v>
      </c>
      <c r="D42" s="774">
        <v>2100200158</v>
      </c>
      <c r="E42" s="775">
        <f>SUM(E43:E58)</f>
        <v>0</v>
      </c>
      <c r="F42" s="776">
        <f>+[28]เรียงตามเขต!H11</f>
        <v>0</v>
      </c>
      <c r="G42" s="776">
        <f>+[28]เรียงตามเขต!I11</f>
        <v>0</v>
      </c>
      <c r="H42" s="776">
        <f>E42-F42-G42</f>
        <v>0</v>
      </c>
      <c r="I42" s="776">
        <v>0</v>
      </c>
      <c r="K42" s="777"/>
    </row>
    <row r="43" spans="1:11" s="783" customFormat="1" ht="47.25" hidden="1" customHeight="1" outlineLevel="2">
      <c r="A43" s="779"/>
      <c r="B43" s="1132"/>
      <c r="C43" s="1133"/>
      <c r="D43" s="780"/>
      <c r="E43" s="781"/>
      <c r="F43" s="782"/>
      <c r="G43" s="782"/>
      <c r="H43" s="782"/>
      <c r="I43" s="782"/>
      <c r="K43" s="777"/>
    </row>
    <row r="44" spans="1:11" s="783" customFormat="1" ht="15" hidden="1" outlineLevel="2">
      <c r="A44" s="779"/>
      <c r="B44" s="1132"/>
      <c r="C44" s="1133"/>
      <c r="D44" s="780"/>
      <c r="E44" s="781"/>
      <c r="F44" s="782"/>
      <c r="G44" s="782"/>
      <c r="H44" s="782"/>
      <c r="I44" s="782"/>
      <c r="K44" s="777"/>
    </row>
    <row r="45" spans="1:11" s="783" customFormat="1" ht="18" hidden="1" customHeight="1" outlineLevel="2">
      <c r="A45" s="779"/>
      <c r="B45" s="1132"/>
      <c r="C45" s="1133"/>
      <c r="D45" s="780"/>
      <c r="E45" s="781"/>
      <c r="F45" s="782"/>
      <c r="G45" s="782"/>
      <c r="H45" s="782"/>
      <c r="I45" s="782"/>
      <c r="K45" s="777"/>
    </row>
    <row r="46" spans="1:11" s="783" customFormat="1" ht="18" hidden="1" customHeight="1" outlineLevel="2">
      <c r="A46" s="779"/>
      <c r="B46" s="1132"/>
      <c r="C46" s="1133"/>
      <c r="D46" s="780"/>
      <c r="E46" s="781"/>
      <c r="F46" s="782"/>
      <c r="G46" s="782"/>
      <c r="H46" s="782"/>
      <c r="I46" s="782"/>
      <c r="K46" s="777"/>
    </row>
    <row r="47" spans="1:11" s="787" customFormat="1" ht="18.75" hidden="1" customHeight="1" outlineLevel="2">
      <c r="A47" s="779"/>
      <c r="B47" s="1132"/>
      <c r="C47" s="1133"/>
      <c r="D47" s="784"/>
      <c r="E47" s="785"/>
      <c r="F47" s="786"/>
      <c r="G47" s="786"/>
      <c r="H47" s="786"/>
      <c r="I47" s="786"/>
      <c r="K47" s="777"/>
    </row>
    <row r="48" spans="1:11" s="787" customFormat="1" ht="48.75" hidden="1" customHeight="1" outlineLevel="2">
      <c r="A48" s="779"/>
      <c r="B48" s="1132"/>
      <c r="C48" s="1133"/>
      <c r="D48" s="784"/>
      <c r="E48" s="785"/>
      <c r="F48" s="786"/>
      <c r="G48" s="786"/>
      <c r="H48" s="786"/>
      <c r="I48" s="786"/>
      <c r="K48" s="777"/>
    </row>
    <row r="49" spans="1:11" s="787" customFormat="1" ht="33" hidden="1" customHeight="1" outlineLevel="2">
      <c r="A49" s="791"/>
      <c r="B49" s="1137"/>
      <c r="C49" s="1138"/>
      <c r="D49" s="799"/>
      <c r="E49" s="800"/>
      <c r="F49" s="793"/>
      <c r="G49" s="793"/>
      <c r="H49" s="793"/>
      <c r="I49" s="793"/>
      <c r="K49" s="777"/>
    </row>
    <row r="50" spans="1:11" s="787" customFormat="1" ht="33" hidden="1" customHeight="1" outlineLevel="2">
      <c r="A50" s="779"/>
      <c r="B50" s="1132"/>
      <c r="C50" s="1133"/>
      <c r="D50" s="784"/>
      <c r="E50" s="785"/>
      <c r="F50" s="786"/>
      <c r="G50" s="786"/>
      <c r="H50" s="786"/>
      <c r="I50" s="786"/>
      <c r="K50" s="777"/>
    </row>
    <row r="51" spans="1:11" s="787" customFormat="1" ht="30.75" hidden="1" customHeight="1" outlineLevel="2">
      <c r="A51" s="779"/>
      <c r="B51" s="1132"/>
      <c r="C51" s="1133"/>
      <c r="D51" s="784"/>
      <c r="E51" s="785"/>
      <c r="F51" s="786"/>
      <c r="G51" s="786"/>
      <c r="H51" s="786"/>
      <c r="I51" s="786"/>
      <c r="K51" s="777"/>
    </row>
    <row r="52" spans="1:11" s="790" customFormat="1" ht="15" hidden="1" outlineLevel="2">
      <c r="A52" s="779"/>
      <c r="B52" s="1132"/>
      <c r="C52" s="1133"/>
      <c r="D52" s="788"/>
      <c r="E52" s="789"/>
      <c r="F52" s="786"/>
      <c r="G52" s="786"/>
      <c r="H52" s="786"/>
      <c r="I52" s="786"/>
      <c r="K52" s="777"/>
    </row>
    <row r="53" spans="1:11" s="790" customFormat="1" ht="36" hidden="1" customHeight="1" outlineLevel="2">
      <c r="A53" s="779"/>
      <c r="B53" s="1132"/>
      <c r="C53" s="1133"/>
      <c r="D53" s="788"/>
      <c r="E53" s="789"/>
      <c r="F53" s="786"/>
      <c r="G53" s="786"/>
      <c r="H53" s="786"/>
      <c r="I53" s="786"/>
      <c r="K53" s="777"/>
    </row>
    <row r="54" spans="1:11" s="790" customFormat="1" ht="15" hidden="1" outlineLevel="2">
      <c r="A54" s="779"/>
      <c r="B54" s="1132" t="s">
        <v>820</v>
      </c>
      <c r="C54" s="1133"/>
      <c r="D54" s="788"/>
      <c r="E54" s="789">
        <v>0</v>
      </c>
      <c r="F54" s="786"/>
      <c r="G54" s="786"/>
      <c r="H54" s="786"/>
      <c r="I54" s="786"/>
      <c r="K54" s="777"/>
    </row>
    <row r="55" spans="1:11" s="790" customFormat="1" ht="30" hidden="1" customHeight="1" outlineLevel="2">
      <c r="A55" s="779"/>
      <c r="B55" s="1132" t="s">
        <v>821</v>
      </c>
      <c r="C55" s="1133"/>
      <c r="D55" s="788"/>
      <c r="E55" s="789">
        <v>0</v>
      </c>
      <c r="F55" s="786"/>
      <c r="G55" s="786"/>
      <c r="H55" s="786"/>
      <c r="I55" s="786"/>
      <c r="K55" s="777"/>
    </row>
    <row r="56" spans="1:11" s="790" customFormat="1" ht="28.5" hidden="1" customHeight="1" outlineLevel="2">
      <c r="A56" s="779"/>
      <c r="B56" s="1132" t="s">
        <v>822</v>
      </c>
      <c r="C56" s="1133"/>
      <c r="D56" s="788"/>
      <c r="E56" s="789">
        <v>0</v>
      </c>
      <c r="F56" s="786"/>
      <c r="G56" s="786"/>
      <c r="H56" s="786"/>
      <c r="I56" s="786"/>
      <c r="K56" s="777"/>
    </row>
    <row r="57" spans="1:11" s="790" customFormat="1" ht="28.5" hidden="1" customHeight="1" outlineLevel="2">
      <c r="A57" s="779"/>
      <c r="B57" s="1132" t="s">
        <v>823</v>
      </c>
      <c r="C57" s="1133"/>
      <c r="D57" s="788"/>
      <c r="E57" s="789">
        <v>0</v>
      </c>
      <c r="F57" s="786"/>
      <c r="G57" s="786"/>
      <c r="H57" s="786"/>
      <c r="I57" s="786"/>
      <c r="K57" s="777"/>
    </row>
    <row r="58" spans="1:11" s="790" customFormat="1" ht="15" hidden="1" customHeight="1" outlineLevel="2">
      <c r="A58" s="791"/>
      <c r="B58" s="1137"/>
      <c r="C58" s="1138"/>
      <c r="D58" s="792"/>
      <c r="E58" s="792"/>
      <c r="F58" s="793"/>
      <c r="G58" s="793"/>
      <c r="H58" s="793"/>
      <c r="I58" s="793"/>
      <c r="K58" s="777"/>
    </row>
    <row r="59" spans="1:11" s="770" customFormat="1" ht="15" hidden="1" outlineLevel="2">
      <c r="A59" s="771"/>
      <c r="B59" s="772" t="s">
        <v>709</v>
      </c>
      <c r="C59" s="773" t="s">
        <v>478</v>
      </c>
      <c r="D59" s="774">
        <v>2100200162</v>
      </c>
      <c r="E59" s="775">
        <f>SUM(E60:E74)</f>
        <v>0</v>
      </c>
      <c r="F59" s="776">
        <f>+[28]เรียงตามเขต!H12</f>
        <v>0</v>
      </c>
      <c r="G59" s="776">
        <f>+[28]เรียงตามเขต!I12</f>
        <v>0</v>
      </c>
      <c r="H59" s="776">
        <f>E59-F59-G59</f>
        <v>0</v>
      </c>
      <c r="I59" s="776">
        <v>0</v>
      </c>
      <c r="K59" s="777"/>
    </row>
    <row r="60" spans="1:11" s="783" customFormat="1" ht="47.25" hidden="1" customHeight="1" outlineLevel="2">
      <c r="A60" s="779"/>
      <c r="B60" s="1132"/>
      <c r="C60" s="1133"/>
      <c r="D60" s="780"/>
      <c r="E60" s="781"/>
      <c r="F60" s="782"/>
      <c r="G60" s="782"/>
      <c r="H60" s="782"/>
      <c r="I60" s="782"/>
      <c r="K60" s="777"/>
    </row>
    <row r="61" spans="1:11" s="783" customFormat="1" ht="15" hidden="1" outlineLevel="2">
      <c r="A61" s="779"/>
      <c r="B61" s="1132"/>
      <c r="C61" s="1133"/>
      <c r="D61" s="780"/>
      <c r="E61" s="781"/>
      <c r="F61" s="782"/>
      <c r="G61" s="782"/>
      <c r="H61" s="782"/>
      <c r="I61" s="782"/>
      <c r="K61" s="777"/>
    </row>
    <row r="62" spans="1:11" s="783" customFormat="1" ht="18" hidden="1" customHeight="1" outlineLevel="2">
      <c r="A62" s="779"/>
      <c r="B62" s="1132"/>
      <c r="C62" s="1133"/>
      <c r="D62" s="780"/>
      <c r="E62" s="781"/>
      <c r="F62" s="782"/>
      <c r="G62" s="782"/>
      <c r="H62" s="782"/>
      <c r="I62" s="782"/>
      <c r="K62" s="777"/>
    </row>
    <row r="63" spans="1:11" s="783" customFormat="1" ht="18" hidden="1" customHeight="1" outlineLevel="2">
      <c r="A63" s="779"/>
      <c r="B63" s="1132"/>
      <c r="C63" s="1133"/>
      <c r="D63" s="780"/>
      <c r="E63" s="781"/>
      <c r="F63" s="782"/>
      <c r="G63" s="782"/>
      <c r="H63" s="782"/>
      <c r="I63" s="782"/>
      <c r="K63" s="777"/>
    </row>
    <row r="64" spans="1:11" s="787" customFormat="1" ht="18.75" hidden="1" customHeight="1" outlineLevel="2">
      <c r="A64" s="779"/>
      <c r="B64" s="1132"/>
      <c r="C64" s="1133"/>
      <c r="D64" s="784"/>
      <c r="E64" s="785"/>
      <c r="F64" s="786"/>
      <c r="G64" s="786"/>
      <c r="H64" s="786"/>
      <c r="I64" s="786"/>
      <c r="K64" s="777"/>
    </row>
    <row r="65" spans="1:11" s="787" customFormat="1" ht="48.75" hidden="1" customHeight="1" outlineLevel="2">
      <c r="A65" s="779"/>
      <c r="B65" s="1132"/>
      <c r="C65" s="1133"/>
      <c r="D65" s="784"/>
      <c r="E65" s="785"/>
      <c r="F65" s="786"/>
      <c r="G65" s="786"/>
      <c r="H65" s="786"/>
      <c r="I65" s="786"/>
      <c r="K65" s="777"/>
    </row>
    <row r="66" spans="1:11" s="787" customFormat="1" ht="33" hidden="1" customHeight="1" outlineLevel="2">
      <c r="A66" s="779"/>
      <c r="B66" s="1132"/>
      <c r="C66" s="1133"/>
      <c r="D66" s="784"/>
      <c r="E66" s="785"/>
      <c r="F66" s="786"/>
      <c r="G66" s="786"/>
      <c r="H66" s="786"/>
      <c r="I66" s="786"/>
      <c r="K66" s="777"/>
    </row>
    <row r="67" spans="1:11" s="787" customFormat="1" ht="33" hidden="1" customHeight="1" outlineLevel="2">
      <c r="A67" s="779"/>
      <c r="B67" s="1132"/>
      <c r="C67" s="1133"/>
      <c r="D67" s="784"/>
      <c r="E67" s="785"/>
      <c r="F67" s="786"/>
      <c r="G67" s="786"/>
      <c r="H67" s="786"/>
      <c r="I67" s="786"/>
      <c r="K67" s="777"/>
    </row>
    <row r="68" spans="1:11" s="790" customFormat="1" ht="15" hidden="1" outlineLevel="2">
      <c r="A68" s="779"/>
      <c r="B68" s="1132"/>
      <c r="C68" s="1133"/>
      <c r="D68" s="788"/>
      <c r="E68" s="789"/>
      <c r="F68" s="786"/>
      <c r="G68" s="786"/>
      <c r="H68" s="786"/>
      <c r="I68" s="786"/>
      <c r="K68" s="777"/>
    </row>
    <row r="69" spans="1:11" s="790" customFormat="1" ht="36" hidden="1" customHeight="1" outlineLevel="2">
      <c r="A69" s="779"/>
      <c r="B69" s="1132"/>
      <c r="C69" s="1133"/>
      <c r="D69" s="788"/>
      <c r="E69" s="789"/>
      <c r="F69" s="786"/>
      <c r="G69" s="786"/>
      <c r="H69" s="786"/>
      <c r="I69" s="786"/>
      <c r="K69" s="777"/>
    </row>
    <row r="70" spans="1:11" s="790" customFormat="1" ht="15" hidden="1" outlineLevel="2">
      <c r="A70" s="779"/>
      <c r="B70" s="1132" t="s">
        <v>820</v>
      </c>
      <c r="C70" s="1133"/>
      <c r="D70" s="788"/>
      <c r="E70" s="789">
        <v>0</v>
      </c>
      <c r="F70" s="786"/>
      <c r="G70" s="786"/>
      <c r="H70" s="786"/>
      <c r="I70" s="786"/>
      <c r="K70" s="777"/>
    </row>
    <row r="71" spans="1:11" s="790" customFormat="1" ht="30" hidden="1" customHeight="1" outlineLevel="2">
      <c r="A71" s="779"/>
      <c r="B71" s="1132" t="s">
        <v>821</v>
      </c>
      <c r="C71" s="1133"/>
      <c r="D71" s="788"/>
      <c r="E71" s="789">
        <v>0</v>
      </c>
      <c r="F71" s="786"/>
      <c r="G71" s="786"/>
      <c r="H71" s="786"/>
      <c r="I71" s="786"/>
      <c r="K71" s="777"/>
    </row>
    <row r="72" spans="1:11" s="790" customFormat="1" ht="28.5" hidden="1" customHeight="1" outlineLevel="2">
      <c r="A72" s="779"/>
      <c r="B72" s="1132" t="s">
        <v>822</v>
      </c>
      <c r="C72" s="1133"/>
      <c r="D72" s="788"/>
      <c r="E72" s="789">
        <v>0</v>
      </c>
      <c r="F72" s="786"/>
      <c r="G72" s="786"/>
      <c r="H72" s="786"/>
      <c r="I72" s="786"/>
      <c r="K72" s="777"/>
    </row>
    <row r="73" spans="1:11" s="790" customFormat="1" ht="28.5" hidden="1" customHeight="1" outlineLevel="2">
      <c r="A73" s="779"/>
      <c r="B73" s="1132" t="s">
        <v>823</v>
      </c>
      <c r="C73" s="1133"/>
      <c r="D73" s="788"/>
      <c r="E73" s="789">
        <v>0</v>
      </c>
      <c r="F73" s="786"/>
      <c r="G73" s="786"/>
      <c r="H73" s="786"/>
      <c r="I73" s="786"/>
      <c r="K73" s="777"/>
    </row>
    <row r="74" spans="1:11" s="790" customFormat="1" ht="15" hidden="1" customHeight="1" outlineLevel="2">
      <c r="A74" s="791"/>
      <c r="B74" s="1137"/>
      <c r="C74" s="1138"/>
      <c r="D74" s="792"/>
      <c r="E74" s="792"/>
      <c r="F74" s="793"/>
      <c r="G74" s="793"/>
      <c r="H74" s="793"/>
      <c r="I74" s="793"/>
      <c r="K74" s="777"/>
    </row>
    <row r="75" spans="1:11" s="770" customFormat="1" ht="15" outlineLevel="2">
      <c r="A75" s="771"/>
      <c r="B75" s="772" t="s">
        <v>708</v>
      </c>
      <c r="C75" s="773" t="s">
        <v>480</v>
      </c>
      <c r="D75" s="774">
        <v>2100200164</v>
      </c>
      <c r="E75" s="775">
        <f>SUM(E76:E90)</f>
        <v>169670</v>
      </c>
      <c r="F75" s="776">
        <f>+[28]เรียงตามเขต!H13</f>
        <v>0</v>
      </c>
      <c r="G75" s="776">
        <f>+[28]เรียงตามเขต!I13</f>
        <v>0</v>
      </c>
      <c r="H75" s="776">
        <f>E75-F75-G75</f>
        <v>169670</v>
      </c>
      <c r="I75" s="776">
        <v>0</v>
      </c>
      <c r="K75" s="777"/>
    </row>
    <row r="76" spans="1:11" s="783" customFormat="1" ht="47.25" customHeight="1" outlineLevel="2">
      <c r="A76" s="779"/>
      <c r="B76" s="1132" t="s">
        <v>819</v>
      </c>
      <c r="C76" s="1133"/>
      <c r="D76" s="780"/>
      <c r="E76" s="781">
        <f>+[28]เรียงตามเขต!G13</f>
        <v>169670</v>
      </c>
      <c r="F76" s="782">
        <f>+[28]เรียงตามเขต!H13</f>
        <v>0</v>
      </c>
      <c r="G76" s="782">
        <f>+[28]เรียงตามเขต!I13</f>
        <v>0</v>
      </c>
      <c r="H76" s="782"/>
      <c r="I76" s="782"/>
      <c r="K76" s="777"/>
    </row>
    <row r="77" spans="1:11" s="783" customFormat="1" ht="15" hidden="1" outlineLevel="2">
      <c r="A77" s="779"/>
      <c r="B77" s="1132"/>
      <c r="C77" s="1133"/>
      <c r="D77" s="780"/>
      <c r="E77" s="781"/>
      <c r="F77" s="782"/>
      <c r="G77" s="782"/>
      <c r="H77" s="782"/>
      <c r="I77" s="782"/>
      <c r="K77" s="777"/>
    </row>
    <row r="78" spans="1:11" s="783" customFormat="1" ht="18" hidden="1" customHeight="1" outlineLevel="2">
      <c r="A78" s="779"/>
      <c r="B78" s="1132"/>
      <c r="C78" s="1133"/>
      <c r="D78" s="780"/>
      <c r="E78" s="781"/>
      <c r="F78" s="782"/>
      <c r="G78" s="782"/>
      <c r="H78" s="782"/>
      <c r="I78" s="782"/>
      <c r="K78" s="777"/>
    </row>
    <row r="79" spans="1:11" s="783" customFormat="1" ht="18" hidden="1" customHeight="1" outlineLevel="2">
      <c r="A79" s="779"/>
      <c r="B79" s="1132"/>
      <c r="C79" s="1133"/>
      <c r="D79" s="780"/>
      <c r="E79" s="781"/>
      <c r="F79" s="782"/>
      <c r="G79" s="782"/>
      <c r="H79" s="782"/>
      <c r="I79" s="782"/>
      <c r="K79" s="777"/>
    </row>
    <row r="80" spans="1:11" s="787" customFormat="1" ht="18.75" hidden="1" customHeight="1" outlineLevel="2">
      <c r="A80" s="779"/>
      <c r="B80" s="1132"/>
      <c r="C80" s="1133"/>
      <c r="D80" s="784"/>
      <c r="E80" s="785"/>
      <c r="F80" s="786"/>
      <c r="G80" s="786"/>
      <c r="H80" s="786"/>
      <c r="I80" s="786"/>
      <c r="K80" s="777"/>
    </row>
    <row r="81" spans="1:11" s="787" customFormat="1" ht="48.75" hidden="1" customHeight="1" outlineLevel="2">
      <c r="A81" s="779"/>
      <c r="B81" s="1132"/>
      <c r="C81" s="1133"/>
      <c r="D81" s="784"/>
      <c r="E81" s="785"/>
      <c r="F81" s="786"/>
      <c r="G81" s="786"/>
      <c r="H81" s="786"/>
      <c r="I81" s="786"/>
      <c r="K81" s="777"/>
    </row>
    <row r="82" spans="1:11" s="787" customFormat="1" ht="33" hidden="1" customHeight="1" outlineLevel="2">
      <c r="A82" s="779"/>
      <c r="B82" s="1132"/>
      <c r="C82" s="1133"/>
      <c r="D82" s="784"/>
      <c r="E82" s="785"/>
      <c r="F82" s="786"/>
      <c r="G82" s="786"/>
      <c r="H82" s="786"/>
      <c r="I82" s="786"/>
      <c r="K82" s="777"/>
    </row>
    <row r="83" spans="1:11" s="787" customFormat="1" ht="33" hidden="1" customHeight="1" outlineLevel="2">
      <c r="A83" s="779"/>
      <c r="B83" s="1132"/>
      <c r="C83" s="1133"/>
      <c r="D83" s="784"/>
      <c r="E83" s="785"/>
      <c r="F83" s="786"/>
      <c r="G83" s="786"/>
      <c r="H83" s="786"/>
      <c r="I83" s="786"/>
      <c r="K83" s="777"/>
    </row>
    <row r="84" spans="1:11" s="790" customFormat="1" ht="15" hidden="1" outlineLevel="2">
      <c r="A84" s="779"/>
      <c r="B84" s="1132"/>
      <c r="C84" s="1133"/>
      <c r="D84" s="788"/>
      <c r="E84" s="789"/>
      <c r="F84" s="786"/>
      <c r="G84" s="786"/>
      <c r="H84" s="786"/>
      <c r="I84" s="786"/>
      <c r="K84" s="777"/>
    </row>
    <row r="85" spans="1:11" s="790" customFormat="1" ht="36" hidden="1" customHeight="1" outlineLevel="2">
      <c r="A85" s="779"/>
      <c r="B85" s="1132"/>
      <c r="C85" s="1133"/>
      <c r="D85" s="788"/>
      <c r="E85" s="789"/>
      <c r="F85" s="786"/>
      <c r="G85" s="786"/>
      <c r="H85" s="786"/>
      <c r="I85" s="786"/>
      <c r="K85" s="777"/>
    </row>
    <row r="86" spans="1:11" s="790" customFormat="1" ht="15" hidden="1" outlineLevel="2">
      <c r="A86" s="779"/>
      <c r="B86" s="1132"/>
      <c r="C86" s="1133"/>
      <c r="D86" s="788"/>
      <c r="E86" s="789"/>
      <c r="F86" s="786"/>
      <c r="G86" s="786"/>
      <c r="H86" s="786"/>
      <c r="I86" s="786"/>
      <c r="K86" s="777"/>
    </row>
    <row r="87" spans="1:11" s="790" customFormat="1" ht="30" hidden="1" customHeight="1" outlineLevel="2">
      <c r="A87" s="779"/>
      <c r="B87" s="1132"/>
      <c r="C87" s="1133"/>
      <c r="D87" s="788"/>
      <c r="E87" s="789"/>
      <c r="F87" s="786"/>
      <c r="G87" s="786"/>
      <c r="H87" s="786"/>
      <c r="I87" s="786"/>
      <c r="K87" s="777"/>
    </row>
    <row r="88" spans="1:11" s="790" customFormat="1" ht="28.5" hidden="1" customHeight="1" outlineLevel="2">
      <c r="A88" s="779"/>
      <c r="B88" s="1132"/>
      <c r="C88" s="1133"/>
      <c r="D88" s="788"/>
      <c r="E88" s="789"/>
      <c r="F88" s="786"/>
      <c r="G88" s="786"/>
      <c r="H88" s="786"/>
      <c r="I88" s="786"/>
      <c r="K88" s="777"/>
    </row>
    <row r="89" spans="1:11" s="790" customFormat="1" ht="28.5" hidden="1" customHeight="1" outlineLevel="2">
      <c r="A89" s="779"/>
      <c r="B89" s="1132"/>
      <c r="C89" s="1133"/>
      <c r="D89" s="788"/>
      <c r="E89" s="789"/>
      <c r="F89" s="786"/>
      <c r="G89" s="786"/>
      <c r="H89" s="786"/>
      <c r="I89" s="786"/>
      <c r="K89" s="777"/>
    </row>
    <row r="90" spans="1:11" s="804" customFormat="1" ht="15" hidden="1" outlineLevel="2">
      <c r="A90" s="801"/>
      <c r="B90" s="1139"/>
      <c r="C90" s="1140"/>
      <c r="D90" s="802"/>
      <c r="E90" s="792"/>
      <c r="F90" s="803"/>
      <c r="G90" s="803"/>
      <c r="H90" s="803"/>
      <c r="I90" s="803"/>
      <c r="K90" s="777"/>
    </row>
    <row r="91" spans="1:11" s="770" customFormat="1" ht="15" hidden="1" outlineLevel="2">
      <c r="A91" s="771"/>
      <c r="B91" s="772" t="s">
        <v>711</v>
      </c>
      <c r="C91" s="773" t="s">
        <v>482</v>
      </c>
      <c r="D91" s="774">
        <v>2100200166</v>
      </c>
      <c r="E91" s="775">
        <f>SUM(E92:E106)</f>
        <v>0</v>
      </c>
      <c r="F91" s="776">
        <f>+[28]เรียงตามเขต!H14</f>
        <v>0</v>
      </c>
      <c r="G91" s="776">
        <f>+[28]เรียงตามเขต!I14</f>
        <v>0</v>
      </c>
      <c r="H91" s="776">
        <f>E91-F91-G91</f>
        <v>0</v>
      </c>
      <c r="I91" s="776">
        <v>0</v>
      </c>
      <c r="K91" s="777"/>
    </row>
    <row r="92" spans="1:11" s="798" customFormat="1" ht="47.25" hidden="1" customHeight="1" outlineLevel="2">
      <c r="A92" s="779"/>
      <c r="B92" s="1132"/>
      <c r="C92" s="1133"/>
      <c r="D92" s="780"/>
      <c r="E92" s="781"/>
      <c r="F92" s="782"/>
      <c r="G92" s="782"/>
      <c r="H92" s="782"/>
      <c r="I92" s="782"/>
      <c r="K92" s="777"/>
    </row>
    <row r="93" spans="1:11" s="798" customFormat="1" ht="15" hidden="1" outlineLevel="2">
      <c r="A93" s="779"/>
      <c r="B93" s="1132"/>
      <c r="C93" s="1133"/>
      <c r="D93" s="780"/>
      <c r="E93" s="781"/>
      <c r="F93" s="782"/>
      <c r="G93" s="782"/>
      <c r="H93" s="782"/>
      <c r="I93" s="782"/>
      <c r="K93" s="777"/>
    </row>
    <row r="94" spans="1:11" s="798" customFormat="1" ht="18" hidden="1" customHeight="1" outlineLevel="2">
      <c r="A94" s="779"/>
      <c r="B94" s="1132"/>
      <c r="C94" s="1133"/>
      <c r="D94" s="780"/>
      <c r="E94" s="781"/>
      <c r="F94" s="782"/>
      <c r="G94" s="782"/>
      <c r="H94" s="782"/>
      <c r="I94" s="782"/>
      <c r="K94" s="777"/>
    </row>
    <row r="95" spans="1:11" s="798" customFormat="1" ht="18" hidden="1" customHeight="1" outlineLevel="2">
      <c r="A95" s="779"/>
      <c r="B95" s="1132"/>
      <c r="C95" s="1133"/>
      <c r="D95" s="780"/>
      <c r="E95" s="781"/>
      <c r="F95" s="782"/>
      <c r="G95" s="782"/>
      <c r="H95" s="782"/>
      <c r="I95" s="782"/>
      <c r="K95" s="777"/>
    </row>
    <row r="96" spans="1:11" s="790" customFormat="1" ht="18.75" hidden="1" customHeight="1" outlineLevel="2">
      <c r="A96" s="779"/>
      <c r="B96" s="1132"/>
      <c r="C96" s="1133"/>
      <c r="D96" s="784"/>
      <c r="E96" s="785"/>
      <c r="F96" s="786"/>
      <c r="G96" s="786"/>
      <c r="H96" s="786"/>
      <c r="I96" s="786"/>
      <c r="K96" s="777"/>
    </row>
    <row r="97" spans="1:11" s="790" customFormat="1" ht="48.75" hidden="1" customHeight="1" outlineLevel="2">
      <c r="A97" s="779"/>
      <c r="B97" s="1132"/>
      <c r="C97" s="1133"/>
      <c r="D97" s="784"/>
      <c r="E97" s="785"/>
      <c r="F97" s="786"/>
      <c r="G97" s="786"/>
      <c r="H97" s="786"/>
      <c r="I97" s="786"/>
      <c r="K97" s="777"/>
    </row>
    <row r="98" spans="1:11" s="790" customFormat="1" ht="33" hidden="1" customHeight="1" outlineLevel="2">
      <c r="A98" s="779"/>
      <c r="B98" s="1132"/>
      <c r="C98" s="1133"/>
      <c r="D98" s="784"/>
      <c r="E98" s="785"/>
      <c r="F98" s="786"/>
      <c r="G98" s="786"/>
      <c r="H98" s="786"/>
      <c r="I98" s="786"/>
      <c r="K98" s="777"/>
    </row>
    <row r="99" spans="1:11" s="790" customFormat="1" ht="33" hidden="1" customHeight="1" outlineLevel="2">
      <c r="A99" s="779"/>
      <c r="B99" s="1132"/>
      <c r="C99" s="1133"/>
      <c r="D99" s="784"/>
      <c r="E99" s="785"/>
      <c r="F99" s="786"/>
      <c r="G99" s="786"/>
      <c r="H99" s="786"/>
      <c r="I99" s="786"/>
      <c r="K99" s="777"/>
    </row>
    <row r="100" spans="1:11" s="790" customFormat="1" ht="15" hidden="1" outlineLevel="2">
      <c r="A100" s="779"/>
      <c r="B100" s="1132"/>
      <c r="C100" s="1133"/>
      <c r="D100" s="788"/>
      <c r="E100" s="789"/>
      <c r="F100" s="786"/>
      <c r="G100" s="786"/>
      <c r="H100" s="786"/>
      <c r="I100" s="786"/>
      <c r="K100" s="777"/>
    </row>
    <row r="101" spans="1:11" s="790" customFormat="1" ht="31.5" hidden="1" customHeight="1" outlineLevel="2">
      <c r="A101" s="779"/>
      <c r="B101" s="1132"/>
      <c r="C101" s="1133"/>
      <c r="D101" s="788"/>
      <c r="E101" s="789"/>
      <c r="F101" s="786"/>
      <c r="G101" s="786"/>
      <c r="H101" s="786"/>
      <c r="I101" s="786"/>
      <c r="K101" s="777"/>
    </row>
    <row r="102" spans="1:11" s="790" customFormat="1" ht="15" hidden="1" outlineLevel="2">
      <c r="A102" s="779"/>
      <c r="B102" s="1132" t="s">
        <v>820</v>
      </c>
      <c r="C102" s="1133"/>
      <c r="D102" s="788"/>
      <c r="E102" s="789">
        <v>0</v>
      </c>
      <c r="F102" s="786"/>
      <c r="G102" s="786"/>
      <c r="H102" s="786"/>
      <c r="I102" s="786"/>
      <c r="K102" s="777"/>
    </row>
    <row r="103" spans="1:11" s="790" customFormat="1" ht="30" hidden="1" customHeight="1" outlineLevel="2">
      <c r="A103" s="779"/>
      <c r="B103" s="1132" t="s">
        <v>821</v>
      </c>
      <c r="C103" s="1133"/>
      <c r="D103" s="788"/>
      <c r="E103" s="789">
        <v>0</v>
      </c>
      <c r="F103" s="786"/>
      <c r="G103" s="786"/>
      <c r="H103" s="786"/>
      <c r="I103" s="786"/>
      <c r="K103" s="777"/>
    </row>
    <row r="104" spans="1:11" s="790" customFormat="1" ht="28.5" hidden="1" customHeight="1" outlineLevel="2">
      <c r="A104" s="779"/>
      <c r="B104" s="1132" t="s">
        <v>822</v>
      </c>
      <c r="C104" s="1133"/>
      <c r="D104" s="788"/>
      <c r="E104" s="789">
        <v>0</v>
      </c>
      <c r="F104" s="786"/>
      <c r="G104" s="786"/>
      <c r="H104" s="786"/>
      <c r="I104" s="786"/>
      <c r="K104" s="777"/>
    </row>
    <row r="105" spans="1:11" s="790" customFormat="1" ht="28.5" hidden="1" customHeight="1" outlineLevel="2">
      <c r="A105" s="779"/>
      <c r="B105" s="1132" t="s">
        <v>823</v>
      </c>
      <c r="C105" s="1133"/>
      <c r="D105" s="788"/>
      <c r="E105" s="789">
        <v>0</v>
      </c>
      <c r="F105" s="786"/>
      <c r="G105" s="786"/>
      <c r="H105" s="786"/>
      <c r="I105" s="786"/>
      <c r="K105" s="777"/>
    </row>
    <row r="106" spans="1:11" s="790" customFormat="1" ht="15" hidden="1" outlineLevel="2">
      <c r="A106" s="779"/>
      <c r="B106" s="1132"/>
      <c r="C106" s="1133"/>
      <c r="D106" s="784"/>
      <c r="E106" s="785"/>
      <c r="F106" s="786"/>
      <c r="G106" s="786"/>
      <c r="H106" s="786"/>
      <c r="I106" s="786"/>
      <c r="K106" s="777"/>
    </row>
    <row r="107" spans="1:11" s="770" customFormat="1" ht="15" hidden="1" outlineLevel="2">
      <c r="A107" s="771"/>
      <c r="B107" s="772" t="s">
        <v>712</v>
      </c>
      <c r="C107" s="773" t="s">
        <v>484</v>
      </c>
      <c r="D107" s="774">
        <v>2100200169</v>
      </c>
      <c r="E107" s="775">
        <f>SUM(E108:E122)</f>
        <v>0</v>
      </c>
      <c r="F107" s="776">
        <f>+[28]เรียงตามเขต!H15</f>
        <v>0</v>
      </c>
      <c r="G107" s="776">
        <f>+[28]เรียงตามเขต!I15</f>
        <v>0</v>
      </c>
      <c r="H107" s="776">
        <f>E107-F107-G107</f>
        <v>0</v>
      </c>
      <c r="I107" s="776">
        <v>0</v>
      </c>
      <c r="K107" s="777"/>
    </row>
    <row r="108" spans="1:11" s="783" customFormat="1" ht="47.25" hidden="1" customHeight="1" outlineLevel="2">
      <c r="A108" s="779"/>
      <c r="B108" s="1132"/>
      <c r="C108" s="1133"/>
      <c r="D108" s="780"/>
      <c r="E108" s="781"/>
      <c r="F108" s="782"/>
      <c r="G108" s="782"/>
      <c r="H108" s="782"/>
      <c r="I108" s="782"/>
      <c r="K108" s="777"/>
    </row>
    <row r="109" spans="1:11" s="783" customFormat="1" ht="15" hidden="1" outlineLevel="2">
      <c r="A109" s="779"/>
      <c r="B109" s="1132"/>
      <c r="C109" s="1133"/>
      <c r="D109" s="780"/>
      <c r="E109" s="781"/>
      <c r="F109" s="782"/>
      <c r="G109" s="782"/>
      <c r="H109" s="782"/>
      <c r="I109" s="782"/>
      <c r="K109" s="777"/>
    </row>
    <row r="110" spans="1:11" s="783" customFormat="1" ht="18" hidden="1" customHeight="1" outlineLevel="2">
      <c r="A110" s="779"/>
      <c r="B110" s="1132"/>
      <c r="C110" s="1133"/>
      <c r="D110" s="780"/>
      <c r="E110" s="781"/>
      <c r="F110" s="782"/>
      <c r="G110" s="782"/>
      <c r="H110" s="782"/>
      <c r="I110" s="782"/>
      <c r="K110" s="777"/>
    </row>
    <row r="111" spans="1:11" s="783" customFormat="1" ht="18" hidden="1" customHeight="1" outlineLevel="2">
      <c r="A111" s="779"/>
      <c r="B111" s="1132"/>
      <c r="C111" s="1133"/>
      <c r="D111" s="780"/>
      <c r="E111" s="781"/>
      <c r="F111" s="782"/>
      <c r="G111" s="782"/>
      <c r="H111" s="782"/>
      <c r="I111" s="782"/>
      <c r="K111" s="777"/>
    </row>
    <row r="112" spans="1:11" s="787" customFormat="1" ht="18.75" hidden="1" customHeight="1" outlineLevel="2">
      <c r="A112" s="779"/>
      <c r="B112" s="1132"/>
      <c r="C112" s="1133"/>
      <c r="D112" s="784"/>
      <c r="E112" s="785"/>
      <c r="F112" s="786"/>
      <c r="G112" s="786"/>
      <c r="H112" s="786"/>
      <c r="I112" s="786"/>
      <c r="K112" s="777"/>
    </row>
    <row r="113" spans="1:11" s="787" customFormat="1" ht="48.75" hidden="1" customHeight="1" outlineLevel="2">
      <c r="A113" s="779"/>
      <c r="B113" s="1132"/>
      <c r="C113" s="1133"/>
      <c r="D113" s="784"/>
      <c r="E113" s="785"/>
      <c r="F113" s="786"/>
      <c r="G113" s="786"/>
      <c r="H113" s="786"/>
      <c r="I113" s="786"/>
      <c r="K113" s="777"/>
    </row>
    <row r="114" spans="1:11" s="787" customFormat="1" ht="33" hidden="1" customHeight="1" outlineLevel="2">
      <c r="A114" s="779"/>
      <c r="B114" s="1132"/>
      <c r="C114" s="1133"/>
      <c r="D114" s="784"/>
      <c r="E114" s="785"/>
      <c r="F114" s="786"/>
      <c r="G114" s="786"/>
      <c r="H114" s="786"/>
      <c r="I114" s="786"/>
      <c r="K114" s="777"/>
    </row>
    <row r="115" spans="1:11" s="787" customFormat="1" ht="33" hidden="1" customHeight="1" outlineLevel="2">
      <c r="A115" s="779"/>
      <c r="B115" s="1132"/>
      <c r="C115" s="1133"/>
      <c r="D115" s="784"/>
      <c r="E115" s="785"/>
      <c r="F115" s="786"/>
      <c r="G115" s="786"/>
      <c r="H115" s="786"/>
      <c r="I115" s="786"/>
      <c r="K115" s="777"/>
    </row>
    <row r="116" spans="1:11" s="790" customFormat="1" ht="15" hidden="1" outlineLevel="2">
      <c r="A116" s="779"/>
      <c r="B116" s="1132"/>
      <c r="C116" s="1133"/>
      <c r="D116" s="788"/>
      <c r="E116" s="789"/>
      <c r="F116" s="786"/>
      <c r="G116" s="786"/>
      <c r="H116" s="786"/>
      <c r="I116" s="786"/>
      <c r="K116" s="777"/>
    </row>
    <row r="117" spans="1:11" s="790" customFormat="1" ht="36" hidden="1" customHeight="1" outlineLevel="2">
      <c r="A117" s="779"/>
      <c r="B117" s="1132"/>
      <c r="C117" s="1133"/>
      <c r="D117" s="788"/>
      <c r="E117" s="789"/>
      <c r="F117" s="786"/>
      <c r="G117" s="786"/>
      <c r="H117" s="786"/>
      <c r="I117" s="786"/>
      <c r="K117" s="777"/>
    </row>
    <row r="118" spans="1:11" s="790" customFormat="1" ht="15" hidden="1" outlineLevel="2">
      <c r="A118" s="779"/>
      <c r="B118" s="1132"/>
      <c r="C118" s="1133"/>
      <c r="D118" s="788"/>
      <c r="E118" s="789"/>
      <c r="F118" s="786"/>
      <c r="G118" s="786"/>
      <c r="H118" s="786"/>
      <c r="I118" s="786"/>
      <c r="K118" s="777"/>
    </row>
    <row r="119" spans="1:11" s="790" customFormat="1" ht="30" hidden="1" customHeight="1" outlineLevel="2">
      <c r="A119" s="779"/>
      <c r="B119" s="1132"/>
      <c r="C119" s="1133"/>
      <c r="D119" s="788"/>
      <c r="E119" s="789"/>
      <c r="F119" s="786"/>
      <c r="G119" s="786"/>
      <c r="H119" s="786"/>
      <c r="I119" s="786"/>
      <c r="K119" s="777"/>
    </row>
    <row r="120" spans="1:11" s="790" customFormat="1" ht="28.5" hidden="1" customHeight="1" outlineLevel="2">
      <c r="A120" s="779"/>
      <c r="B120" s="1132"/>
      <c r="C120" s="1133"/>
      <c r="D120" s="788"/>
      <c r="E120" s="789"/>
      <c r="F120" s="786"/>
      <c r="G120" s="786"/>
      <c r="H120" s="786"/>
      <c r="I120" s="786"/>
      <c r="K120" s="777"/>
    </row>
    <row r="121" spans="1:11" s="790" customFormat="1" ht="28.5" hidden="1" customHeight="1" outlineLevel="2">
      <c r="A121" s="779"/>
      <c r="B121" s="1132"/>
      <c r="C121" s="1133"/>
      <c r="D121" s="788"/>
      <c r="E121" s="789"/>
      <c r="F121" s="786"/>
      <c r="G121" s="786"/>
      <c r="H121" s="786"/>
      <c r="I121" s="786"/>
      <c r="K121" s="777"/>
    </row>
    <row r="122" spans="1:11" s="790" customFormat="1" ht="15" hidden="1" customHeight="1" outlineLevel="2">
      <c r="A122" s="791"/>
      <c r="B122" s="1139"/>
      <c r="C122" s="1140"/>
      <c r="D122" s="792"/>
      <c r="E122" s="792"/>
      <c r="F122" s="793"/>
      <c r="G122" s="793"/>
      <c r="H122" s="793"/>
      <c r="I122" s="793"/>
      <c r="K122" s="777"/>
    </row>
    <row r="123" spans="1:11" s="770" customFormat="1" ht="15" hidden="1" outlineLevel="2">
      <c r="A123" s="771"/>
      <c r="B123" s="772" t="s">
        <v>713</v>
      </c>
      <c r="C123" s="773" t="s">
        <v>486</v>
      </c>
      <c r="D123" s="774">
        <v>2100200171</v>
      </c>
      <c r="E123" s="775">
        <f>SUM(E124:E139)</f>
        <v>0</v>
      </c>
      <c r="F123" s="776">
        <f>+[28]เรียงตามเขต!H16</f>
        <v>0</v>
      </c>
      <c r="G123" s="776">
        <f>+[28]เรียงตามเขต!I16</f>
        <v>0</v>
      </c>
      <c r="H123" s="776">
        <f>E123-F123-G123</f>
        <v>0</v>
      </c>
      <c r="I123" s="776">
        <v>0</v>
      </c>
      <c r="K123" s="777"/>
    </row>
    <row r="124" spans="1:11" s="783" customFormat="1" ht="47.25" hidden="1" customHeight="1" outlineLevel="2">
      <c r="A124" s="779"/>
      <c r="B124" s="1132"/>
      <c r="C124" s="1133"/>
      <c r="D124" s="780"/>
      <c r="E124" s="781"/>
      <c r="F124" s="782"/>
      <c r="G124" s="782"/>
      <c r="H124" s="782"/>
      <c r="I124" s="782"/>
      <c r="K124" s="777"/>
    </row>
    <row r="125" spans="1:11" s="783" customFormat="1" ht="15" hidden="1" outlineLevel="2">
      <c r="A125" s="779"/>
      <c r="B125" s="1132"/>
      <c r="C125" s="1133"/>
      <c r="D125" s="780"/>
      <c r="E125" s="781"/>
      <c r="F125" s="782"/>
      <c r="G125" s="782"/>
      <c r="H125" s="782"/>
      <c r="I125" s="782"/>
      <c r="K125" s="777"/>
    </row>
    <row r="126" spans="1:11" s="783" customFormat="1" ht="18" hidden="1" customHeight="1" outlineLevel="2">
      <c r="A126" s="779"/>
      <c r="B126" s="1132"/>
      <c r="C126" s="1133"/>
      <c r="D126" s="780"/>
      <c r="E126" s="781"/>
      <c r="F126" s="782"/>
      <c r="G126" s="782"/>
      <c r="H126" s="782"/>
      <c r="I126" s="782"/>
      <c r="K126" s="777"/>
    </row>
    <row r="127" spans="1:11" s="783" customFormat="1" ht="18" hidden="1" customHeight="1" outlineLevel="2">
      <c r="A127" s="779"/>
      <c r="B127" s="1132"/>
      <c r="C127" s="1133"/>
      <c r="D127" s="780"/>
      <c r="E127" s="781"/>
      <c r="F127" s="782"/>
      <c r="G127" s="782"/>
      <c r="H127" s="782"/>
      <c r="I127" s="782"/>
      <c r="K127" s="777"/>
    </row>
    <row r="128" spans="1:11" s="787" customFormat="1" ht="18.75" hidden="1" customHeight="1" outlineLevel="2">
      <c r="A128" s="779"/>
      <c r="B128" s="1132"/>
      <c r="C128" s="1133"/>
      <c r="D128" s="784"/>
      <c r="E128" s="785"/>
      <c r="F128" s="786"/>
      <c r="G128" s="786"/>
      <c r="H128" s="786"/>
      <c r="I128" s="786"/>
      <c r="K128" s="777"/>
    </row>
    <row r="129" spans="1:11" s="787" customFormat="1" ht="48.75" hidden="1" customHeight="1" outlineLevel="2">
      <c r="A129" s="779"/>
      <c r="B129" s="1132"/>
      <c r="C129" s="1133"/>
      <c r="D129" s="784"/>
      <c r="E129" s="785"/>
      <c r="F129" s="786"/>
      <c r="G129" s="786"/>
      <c r="H129" s="786"/>
      <c r="I129" s="786"/>
      <c r="K129" s="777"/>
    </row>
    <row r="130" spans="1:11" s="787" customFormat="1" ht="33" hidden="1" customHeight="1" outlineLevel="2">
      <c r="A130" s="779"/>
      <c r="B130" s="1132"/>
      <c r="C130" s="1133"/>
      <c r="D130" s="784"/>
      <c r="E130" s="785"/>
      <c r="F130" s="786"/>
      <c r="G130" s="786"/>
      <c r="H130" s="786"/>
      <c r="I130" s="786"/>
      <c r="K130" s="777"/>
    </row>
    <row r="131" spans="1:11" s="787" customFormat="1" ht="33" hidden="1" customHeight="1" outlineLevel="2">
      <c r="A131" s="779"/>
      <c r="B131" s="1132"/>
      <c r="C131" s="1133"/>
      <c r="D131" s="784"/>
      <c r="E131" s="785"/>
      <c r="F131" s="786"/>
      <c r="G131" s="786"/>
      <c r="H131" s="786"/>
      <c r="I131" s="786"/>
      <c r="K131" s="777"/>
    </row>
    <row r="132" spans="1:11" s="790" customFormat="1" ht="15" hidden="1" outlineLevel="2">
      <c r="A132" s="779"/>
      <c r="B132" s="1132"/>
      <c r="C132" s="1133"/>
      <c r="D132" s="788"/>
      <c r="E132" s="789"/>
      <c r="F132" s="786"/>
      <c r="G132" s="786"/>
      <c r="H132" s="786"/>
      <c r="I132" s="786"/>
      <c r="K132" s="777"/>
    </row>
    <row r="133" spans="1:11" s="790" customFormat="1" ht="30" hidden="1" customHeight="1" outlineLevel="2">
      <c r="A133" s="779"/>
      <c r="B133" s="1132"/>
      <c r="C133" s="1133"/>
      <c r="D133" s="788"/>
      <c r="E133" s="789"/>
      <c r="F133" s="786"/>
      <c r="G133" s="786"/>
      <c r="H133" s="786"/>
      <c r="I133" s="786"/>
      <c r="K133" s="777"/>
    </row>
    <row r="134" spans="1:11" s="790" customFormat="1" ht="36" hidden="1" customHeight="1" outlineLevel="2">
      <c r="A134" s="779"/>
      <c r="B134" s="1132"/>
      <c r="C134" s="1133"/>
      <c r="D134" s="788"/>
      <c r="E134" s="789"/>
      <c r="F134" s="786"/>
      <c r="G134" s="786"/>
      <c r="H134" s="786"/>
      <c r="I134" s="786"/>
      <c r="K134" s="777"/>
    </row>
    <row r="135" spans="1:11" s="790" customFormat="1" ht="15" hidden="1" outlineLevel="2">
      <c r="A135" s="779"/>
      <c r="B135" s="1132"/>
      <c r="C135" s="1133"/>
      <c r="D135" s="788"/>
      <c r="E135" s="789"/>
      <c r="F135" s="786"/>
      <c r="G135" s="786"/>
      <c r="H135" s="786"/>
      <c r="I135" s="786"/>
      <c r="K135" s="777"/>
    </row>
    <row r="136" spans="1:11" s="790" customFormat="1" ht="30" hidden="1" customHeight="1" outlineLevel="2">
      <c r="A136" s="779"/>
      <c r="B136" s="1132"/>
      <c r="C136" s="1133"/>
      <c r="D136" s="788"/>
      <c r="E136" s="789"/>
      <c r="F136" s="786"/>
      <c r="G136" s="786"/>
      <c r="H136" s="786"/>
      <c r="I136" s="786"/>
      <c r="K136" s="777"/>
    </row>
    <row r="137" spans="1:11" s="790" customFormat="1" ht="28.5" hidden="1" customHeight="1" outlineLevel="2">
      <c r="A137" s="779"/>
      <c r="B137" s="1132"/>
      <c r="C137" s="1133"/>
      <c r="D137" s="788"/>
      <c r="E137" s="789"/>
      <c r="F137" s="786"/>
      <c r="G137" s="786"/>
      <c r="H137" s="786"/>
      <c r="I137" s="786"/>
      <c r="K137" s="777"/>
    </row>
    <row r="138" spans="1:11" s="790" customFormat="1" ht="28.5" hidden="1" customHeight="1" outlineLevel="2">
      <c r="A138" s="779"/>
      <c r="B138" s="1132"/>
      <c r="C138" s="1133"/>
      <c r="D138" s="788"/>
      <c r="E138" s="789"/>
      <c r="F138" s="786"/>
      <c r="G138" s="786"/>
      <c r="H138" s="786"/>
      <c r="I138" s="786"/>
      <c r="K138" s="777"/>
    </row>
    <row r="139" spans="1:11" s="790" customFormat="1" ht="15" hidden="1" outlineLevel="2">
      <c r="A139" s="791"/>
      <c r="B139" s="1137"/>
      <c r="C139" s="1138"/>
      <c r="D139" s="799"/>
      <c r="E139" s="800"/>
      <c r="F139" s="793"/>
      <c r="G139" s="793"/>
      <c r="H139" s="793"/>
      <c r="I139" s="793"/>
      <c r="K139" s="777"/>
    </row>
    <row r="140" spans="1:11" s="770" customFormat="1" outlineLevel="1" collapsed="1">
      <c r="A140" s="763"/>
      <c r="B140" s="764" t="s">
        <v>824</v>
      </c>
      <c r="C140" s="765"/>
      <c r="D140" s="766"/>
      <c r="E140" s="767">
        <f>+E141+E156+E172+E188+E204</f>
        <v>54000</v>
      </c>
      <c r="F140" s="767">
        <f>+F141+F156+F172+F188+F204</f>
        <v>0</v>
      </c>
      <c r="G140" s="767">
        <f>+G141+G156+G172+G188+G204</f>
        <v>0</v>
      </c>
      <c r="H140" s="767">
        <f>+H141+H156+H172+H188+H204</f>
        <v>54000</v>
      </c>
      <c r="I140" s="768">
        <f>SUM(I141:I204)</f>
        <v>0</v>
      </c>
    </row>
    <row r="141" spans="1:11" s="770" customFormat="1" ht="15" hidden="1" outlineLevel="2">
      <c r="A141" s="771"/>
      <c r="B141" s="772" t="s">
        <v>714</v>
      </c>
      <c r="C141" s="773" t="s">
        <v>489</v>
      </c>
      <c r="D141" s="774">
        <v>2100200160</v>
      </c>
      <c r="E141" s="775">
        <f>SUM(E142:E155)</f>
        <v>0</v>
      </c>
      <c r="F141" s="776">
        <f>+[28]เรียงตามเขต!H18</f>
        <v>0</v>
      </c>
      <c r="G141" s="776">
        <f>+[28]เรียงตามเขต!I18</f>
        <v>0</v>
      </c>
      <c r="H141" s="776">
        <f>E141-F141-G141</f>
        <v>0</v>
      </c>
      <c r="I141" s="776">
        <v>0</v>
      </c>
    </row>
    <row r="142" spans="1:11" s="783" customFormat="1" ht="47.25" hidden="1" customHeight="1" outlineLevel="2">
      <c r="A142" s="779"/>
      <c r="B142" s="1132"/>
      <c r="C142" s="1133"/>
      <c r="D142" s="780"/>
      <c r="E142" s="781"/>
      <c r="F142" s="782"/>
      <c r="G142" s="782"/>
      <c r="H142" s="782"/>
      <c r="I142" s="782"/>
    </row>
    <row r="143" spans="1:11" s="783" customFormat="1" ht="15" hidden="1" outlineLevel="2">
      <c r="A143" s="779"/>
      <c r="B143" s="1132"/>
      <c r="C143" s="1133"/>
      <c r="D143" s="780"/>
      <c r="E143" s="781"/>
      <c r="F143" s="782"/>
      <c r="G143" s="782"/>
      <c r="H143" s="782"/>
      <c r="I143" s="782"/>
    </row>
    <row r="144" spans="1:11" s="783" customFormat="1" ht="18" hidden="1" customHeight="1" outlineLevel="2">
      <c r="A144" s="779"/>
      <c r="B144" s="1132"/>
      <c r="C144" s="1133"/>
      <c r="D144" s="780"/>
      <c r="E144" s="781"/>
      <c r="F144" s="782"/>
      <c r="G144" s="782"/>
      <c r="H144" s="782"/>
      <c r="I144" s="782"/>
    </row>
    <row r="145" spans="1:9" s="783" customFormat="1" ht="18" hidden="1" customHeight="1" outlineLevel="2">
      <c r="A145" s="779"/>
      <c r="B145" s="1132"/>
      <c r="C145" s="1133"/>
      <c r="D145" s="780"/>
      <c r="E145" s="781"/>
      <c r="F145" s="782"/>
      <c r="G145" s="782"/>
      <c r="H145" s="782"/>
      <c r="I145" s="782"/>
    </row>
    <row r="146" spans="1:9" s="787" customFormat="1" ht="18.75" hidden="1" customHeight="1" outlineLevel="2">
      <c r="A146" s="779"/>
      <c r="B146" s="1132"/>
      <c r="C146" s="1133"/>
      <c r="D146" s="784"/>
      <c r="E146" s="785"/>
      <c r="F146" s="786"/>
      <c r="G146" s="786"/>
      <c r="H146" s="786"/>
      <c r="I146" s="786"/>
    </row>
    <row r="147" spans="1:9" s="787" customFormat="1" ht="48.75" hidden="1" customHeight="1" outlineLevel="2">
      <c r="A147" s="779"/>
      <c r="B147" s="1132"/>
      <c r="C147" s="1133"/>
      <c r="D147" s="784"/>
      <c r="E147" s="785"/>
      <c r="F147" s="786"/>
      <c r="G147" s="786"/>
      <c r="H147" s="786"/>
      <c r="I147" s="786"/>
    </row>
    <row r="148" spans="1:9" s="787" customFormat="1" ht="33" hidden="1" customHeight="1" outlineLevel="2">
      <c r="A148" s="779"/>
      <c r="B148" s="1132"/>
      <c r="C148" s="1133"/>
      <c r="D148" s="784"/>
      <c r="E148" s="785"/>
      <c r="F148" s="786"/>
      <c r="G148" s="786"/>
      <c r="H148" s="786"/>
      <c r="I148" s="786"/>
    </row>
    <row r="149" spans="1:9" s="787" customFormat="1" ht="33" hidden="1" customHeight="1" outlineLevel="2">
      <c r="A149" s="779"/>
      <c r="B149" s="1132"/>
      <c r="C149" s="1133"/>
      <c r="D149" s="784"/>
      <c r="E149" s="785"/>
      <c r="F149" s="786"/>
      <c r="G149" s="786"/>
      <c r="H149" s="786"/>
      <c r="I149" s="786"/>
    </row>
    <row r="150" spans="1:9" s="790" customFormat="1" ht="36" hidden="1" customHeight="1" outlineLevel="2">
      <c r="A150" s="779"/>
      <c r="B150" s="1132"/>
      <c r="C150" s="1133"/>
      <c r="D150" s="788"/>
      <c r="E150" s="789"/>
      <c r="F150" s="786"/>
      <c r="G150" s="786"/>
      <c r="H150" s="786"/>
      <c r="I150" s="786"/>
    </row>
    <row r="151" spans="1:9" s="790" customFormat="1" ht="15" hidden="1" outlineLevel="2">
      <c r="A151" s="779"/>
      <c r="B151" s="1132"/>
      <c r="C151" s="1133"/>
      <c r="D151" s="788"/>
      <c r="E151" s="789"/>
      <c r="F151" s="786"/>
      <c r="G151" s="786"/>
      <c r="H151" s="786"/>
      <c r="I151" s="786"/>
    </row>
    <row r="152" spans="1:9" s="790" customFormat="1" ht="30" hidden="1" customHeight="1" outlineLevel="2">
      <c r="A152" s="779"/>
      <c r="B152" s="1132"/>
      <c r="C152" s="1133"/>
      <c r="D152" s="788"/>
      <c r="E152" s="789"/>
      <c r="F152" s="786"/>
      <c r="G152" s="786"/>
      <c r="H152" s="786"/>
      <c r="I152" s="786"/>
    </row>
    <row r="153" spans="1:9" s="790" customFormat="1" ht="28.5" hidden="1" customHeight="1" outlineLevel="2">
      <c r="A153" s="779"/>
      <c r="B153" s="1132"/>
      <c r="C153" s="1133"/>
      <c r="D153" s="788"/>
      <c r="E153" s="789"/>
      <c r="F153" s="786"/>
      <c r="G153" s="786"/>
      <c r="H153" s="786"/>
      <c r="I153" s="786"/>
    </row>
    <row r="154" spans="1:9" s="790" customFormat="1" ht="28.5" hidden="1" customHeight="1" outlineLevel="2">
      <c r="A154" s="779"/>
      <c r="B154" s="1132"/>
      <c r="C154" s="1133"/>
      <c r="D154" s="788"/>
      <c r="E154" s="789"/>
      <c r="F154" s="786"/>
      <c r="G154" s="786"/>
      <c r="H154" s="786"/>
      <c r="I154" s="786"/>
    </row>
    <row r="155" spans="1:9" s="790" customFormat="1" ht="15" hidden="1" outlineLevel="2">
      <c r="A155" s="791"/>
      <c r="B155" s="1139"/>
      <c r="C155" s="1140"/>
      <c r="D155" s="799"/>
      <c r="E155" s="792"/>
      <c r="F155" s="793"/>
      <c r="G155" s="793"/>
      <c r="H155" s="793"/>
      <c r="I155" s="793"/>
    </row>
    <row r="156" spans="1:9" s="770" customFormat="1" ht="15" outlineLevel="2">
      <c r="A156" s="771"/>
      <c r="B156" s="772" t="s">
        <v>714</v>
      </c>
      <c r="C156" s="773" t="s">
        <v>491</v>
      </c>
      <c r="D156" s="774">
        <v>2100200179</v>
      </c>
      <c r="E156" s="775">
        <f>SUM(E157:E171)</f>
        <v>54000</v>
      </c>
      <c r="F156" s="776">
        <f>+[28]เรียงตามเขต!H19</f>
        <v>0</v>
      </c>
      <c r="G156" s="776">
        <f>+[28]เรียงตามเขต!I19</f>
        <v>0</v>
      </c>
      <c r="H156" s="776">
        <f>E156-F156-G156</f>
        <v>54000</v>
      </c>
      <c r="I156" s="776">
        <v>0</v>
      </c>
    </row>
    <row r="157" spans="1:9" s="783" customFormat="1" ht="47.25" customHeight="1" outlineLevel="2">
      <c r="A157" s="779"/>
      <c r="B157" s="1132" t="s">
        <v>819</v>
      </c>
      <c r="C157" s="1133"/>
      <c r="D157" s="780"/>
      <c r="E157" s="781">
        <f>+[28]เรียงตามเขต!G19</f>
        <v>54000</v>
      </c>
      <c r="F157" s="782">
        <f>+[28]เรียงตามเขต!H19</f>
        <v>0</v>
      </c>
      <c r="G157" s="782">
        <f>+[28]เรียงตามเขต!I19</f>
        <v>0</v>
      </c>
      <c r="H157" s="782"/>
      <c r="I157" s="782"/>
    </row>
    <row r="158" spans="1:9" s="783" customFormat="1" ht="15" hidden="1" outlineLevel="2">
      <c r="A158" s="779"/>
      <c r="B158" s="1132"/>
      <c r="C158" s="1133"/>
      <c r="D158" s="780"/>
      <c r="E158" s="781"/>
      <c r="F158" s="782"/>
      <c r="G158" s="782"/>
      <c r="H158" s="782"/>
      <c r="I158" s="782"/>
    </row>
    <row r="159" spans="1:9" s="783" customFormat="1" ht="18" hidden="1" customHeight="1" outlineLevel="2">
      <c r="A159" s="779"/>
      <c r="B159" s="1132"/>
      <c r="C159" s="1133"/>
      <c r="D159" s="780"/>
      <c r="E159" s="781"/>
      <c r="F159" s="782"/>
      <c r="G159" s="782"/>
      <c r="H159" s="782"/>
      <c r="I159" s="782"/>
    </row>
    <row r="160" spans="1:9" s="783" customFormat="1" ht="18" hidden="1" customHeight="1" outlineLevel="2">
      <c r="A160" s="779"/>
      <c r="B160" s="1132"/>
      <c r="C160" s="1133"/>
      <c r="D160" s="780"/>
      <c r="E160" s="781"/>
      <c r="F160" s="782"/>
      <c r="G160" s="782"/>
      <c r="H160" s="782"/>
      <c r="I160" s="782"/>
    </row>
    <row r="161" spans="1:9" s="787" customFormat="1" ht="18.75" hidden="1" customHeight="1" outlineLevel="2">
      <c r="A161" s="779"/>
      <c r="B161" s="1132"/>
      <c r="C161" s="1133"/>
      <c r="D161" s="784"/>
      <c r="E161" s="785"/>
      <c r="F161" s="786"/>
      <c r="G161" s="786"/>
      <c r="H161" s="786"/>
      <c r="I161" s="786"/>
    </row>
    <row r="162" spans="1:9" s="787" customFormat="1" ht="48.75" hidden="1" customHeight="1" outlineLevel="2">
      <c r="A162" s="779"/>
      <c r="B162" s="1132"/>
      <c r="C162" s="1133"/>
      <c r="D162" s="784"/>
      <c r="E162" s="785"/>
      <c r="F162" s="786"/>
      <c r="G162" s="786"/>
      <c r="H162" s="786"/>
      <c r="I162" s="786"/>
    </row>
    <row r="163" spans="1:9" s="787" customFormat="1" ht="33" hidden="1" customHeight="1" outlineLevel="2">
      <c r="A163" s="791"/>
      <c r="B163" s="1137"/>
      <c r="C163" s="1138"/>
      <c r="D163" s="799"/>
      <c r="E163" s="800"/>
      <c r="F163" s="793"/>
      <c r="G163" s="793"/>
      <c r="H163" s="793"/>
      <c r="I163" s="793"/>
    </row>
    <row r="164" spans="1:9" s="787" customFormat="1" ht="33" hidden="1" customHeight="1" outlineLevel="2">
      <c r="A164" s="779"/>
      <c r="B164" s="1132"/>
      <c r="C164" s="1133"/>
      <c r="D164" s="784"/>
      <c r="E164" s="785"/>
      <c r="F164" s="786"/>
      <c r="G164" s="786"/>
      <c r="H164" s="786"/>
      <c r="I164" s="786"/>
    </row>
    <row r="165" spans="1:9" s="787" customFormat="1" ht="33" hidden="1" customHeight="1" outlineLevel="2">
      <c r="A165" s="779"/>
      <c r="B165" s="1132"/>
      <c r="C165" s="1133"/>
      <c r="D165" s="784"/>
      <c r="E165" s="785"/>
      <c r="F165" s="786"/>
      <c r="G165" s="786"/>
      <c r="H165" s="786"/>
      <c r="I165" s="786"/>
    </row>
    <row r="166" spans="1:9" s="790" customFormat="1" ht="36" hidden="1" customHeight="1" outlineLevel="2">
      <c r="A166" s="779"/>
      <c r="B166" s="1132"/>
      <c r="C166" s="1133"/>
      <c r="D166" s="788"/>
      <c r="E166" s="789"/>
      <c r="F166" s="786"/>
      <c r="G166" s="786"/>
      <c r="H166" s="786"/>
      <c r="I166" s="786"/>
    </row>
    <row r="167" spans="1:9" s="790" customFormat="1" ht="15" hidden="1" outlineLevel="2">
      <c r="A167" s="779"/>
      <c r="B167" s="1132"/>
      <c r="C167" s="1133"/>
      <c r="D167" s="788"/>
      <c r="E167" s="789"/>
      <c r="F167" s="786"/>
      <c r="G167" s="786"/>
      <c r="H167" s="786"/>
      <c r="I167" s="786"/>
    </row>
    <row r="168" spans="1:9" s="790" customFormat="1" ht="30" hidden="1" customHeight="1" outlineLevel="2">
      <c r="A168" s="779"/>
      <c r="B168" s="1132"/>
      <c r="C168" s="1133"/>
      <c r="D168" s="788"/>
      <c r="E168" s="789"/>
      <c r="F168" s="786"/>
      <c r="G168" s="786"/>
      <c r="H168" s="786"/>
      <c r="I168" s="786"/>
    </row>
    <row r="169" spans="1:9" s="790" customFormat="1" ht="28.5" hidden="1" customHeight="1" outlineLevel="2">
      <c r="A169" s="779"/>
      <c r="B169" s="1132"/>
      <c r="C169" s="1133"/>
      <c r="D169" s="788"/>
      <c r="E169" s="789"/>
      <c r="F169" s="786"/>
      <c r="G169" s="786"/>
      <c r="H169" s="786"/>
      <c r="I169" s="786"/>
    </row>
    <row r="170" spans="1:9" s="790" customFormat="1" ht="28.5" hidden="1" customHeight="1" outlineLevel="2">
      <c r="A170" s="779"/>
      <c r="B170" s="1132"/>
      <c r="C170" s="1133"/>
      <c r="D170" s="788"/>
      <c r="E170" s="789"/>
      <c r="F170" s="786"/>
      <c r="G170" s="786"/>
      <c r="H170" s="786"/>
      <c r="I170" s="786"/>
    </row>
    <row r="171" spans="1:9" s="790" customFormat="1" ht="15" hidden="1" outlineLevel="2">
      <c r="A171" s="791"/>
      <c r="B171" s="1139"/>
      <c r="C171" s="1140"/>
      <c r="D171" s="799"/>
      <c r="E171" s="792"/>
      <c r="F171" s="793"/>
      <c r="G171" s="793"/>
      <c r="H171" s="793"/>
      <c r="I171" s="793"/>
    </row>
    <row r="172" spans="1:9" s="770" customFormat="1" ht="15" hidden="1" outlineLevel="2">
      <c r="A172" s="771"/>
      <c r="B172" s="772" t="s">
        <v>716</v>
      </c>
      <c r="C172" s="773" t="s">
        <v>493</v>
      </c>
      <c r="D172" s="774">
        <v>2100200182</v>
      </c>
      <c r="E172" s="775">
        <f>SUM(E173:E187)</f>
        <v>0</v>
      </c>
      <c r="F172" s="776">
        <f>+[28]เรียงตามเขต!H20</f>
        <v>0</v>
      </c>
      <c r="G172" s="776">
        <f>+[28]เรียงตามเขต!I20</f>
        <v>0</v>
      </c>
      <c r="H172" s="776">
        <f>E172-F172-G172</f>
        <v>0</v>
      </c>
      <c r="I172" s="776">
        <v>0</v>
      </c>
    </row>
    <row r="173" spans="1:9" s="783" customFormat="1" ht="47.25" hidden="1" customHeight="1" outlineLevel="2">
      <c r="A173" s="779"/>
      <c r="B173" s="1132"/>
      <c r="C173" s="1133"/>
      <c r="D173" s="780"/>
      <c r="E173" s="781"/>
      <c r="F173" s="782"/>
      <c r="G173" s="782"/>
      <c r="H173" s="782"/>
      <c r="I173" s="782"/>
    </row>
    <row r="174" spans="1:9" s="783" customFormat="1" ht="15" hidden="1" outlineLevel="2">
      <c r="A174" s="779"/>
      <c r="B174" s="1132"/>
      <c r="C174" s="1133"/>
      <c r="D174" s="780"/>
      <c r="E174" s="781"/>
      <c r="F174" s="782"/>
      <c r="G174" s="782"/>
      <c r="H174" s="782"/>
      <c r="I174" s="782"/>
    </row>
    <row r="175" spans="1:9" s="783" customFormat="1" ht="18" hidden="1" customHeight="1" outlineLevel="2">
      <c r="A175" s="779"/>
      <c r="B175" s="1132"/>
      <c r="C175" s="1133"/>
      <c r="D175" s="780"/>
      <c r="E175" s="781"/>
      <c r="F175" s="782"/>
      <c r="G175" s="782"/>
      <c r="H175" s="782"/>
      <c r="I175" s="782"/>
    </row>
    <row r="176" spans="1:9" s="783" customFormat="1" ht="18" hidden="1" customHeight="1" outlineLevel="2">
      <c r="A176" s="779"/>
      <c r="B176" s="1132"/>
      <c r="C176" s="1133"/>
      <c r="D176" s="780"/>
      <c r="E176" s="781"/>
      <c r="F176" s="782"/>
      <c r="G176" s="782"/>
      <c r="H176" s="782"/>
      <c r="I176" s="782"/>
    </row>
    <row r="177" spans="1:9" s="787" customFormat="1" ht="18.75" hidden="1" customHeight="1" outlineLevel="2">
      <c r="A177" s="779"/>
      <c r="B177" s="1132"/>
      <c r="C177" s="1133"/>
      <c r="D177" s="784"/>
      <c r="E177" s="785"/>
      <c r="F177" s="786"/>
      <c r="G177" s="786"/>
      <c r="H177" s="786"/>
      <c r="I177" s="786"/>
    </row>
    <row r="178" spans="1:9" s="787" customFormat="1" ht="48.75" hidden="1" customHeight="1" outlineLevel="2">
      <c r="A178" s="779"/>
      <c r="B178" s="1132"/>
      <c r="C178" s="1133"/>
      <c r="D178" s="784"/>
      <c r="E178" s="785"/>
      <c r="F178" s="786"/>
      <c r="G178" s="786"/>
      <c r="H178" s="786"/>
      <c r="I178" s="786"/>
    </row>
    <row r="179" spans="1:9" s="787" customFormat="1" ht="33" hidden="1" customHeight="1" outlineLevel="2">
      <c r="A179" s="779"/>
      <c r="B179" s="1132"/>
      <c r="C179" s="1133"/>
      <c r="D179" s="784"/>
      <c r="E179" s="785"/>
      <c r="F179" s="786"/>
      <c r="G179" s="786"/>
      <c r="H179" s="786"/>
      <c r="I179" s="786"/>
    </row>
    <row r="180" spans="1:9" s="787" customFormat="1" ht="33" hidden="1" customHeight="1" outlineLevel="2">
      <c r="A180" s="779"/>
      <c r="B180" s="1132"/>
      <c r="C180" s="1133"/>
      <c r="D180" s="784"/>
      <c r="E180" s="785"/>
      <c r="F180" s="786"/>
      <c r="G180" s="786"/>
      <c r="H180" s="786"/>
      <c r="I180" s="786"/>
    </row>
    <row r="181" spans="1:9" s="787" customFormat="1" ht="15" hidden="1" outlineLevel="2">
      <c r="A181" s="779"/>
      <c r="B181" s="1132"/>
      <c r="C181" s="1133"/>
      <c r="D181" s="784"/>
      <c r="E181" s="785"/>
      <c r="F181" s="786"/>
      <c r="G181" s="786"/>
      <c r="H181" s="786"/>
      <c r="I181" s="786"/>
    </row>
    <row r="182" spans="1:9" s="790" customFormat="1" ht="36" hidden="1" customHeight="1" outlineLevel="2">
      <c r="A182" s="779"/>
      <c r="B182" s="1132"/>
      <c r="C182" s="1133"/>
      <c r="D182" s="788"/>
      <c r="E182" s="789"/>
      <c r="F182" s="786"/>
      <c r="G182" s="786"/>
      <c r="H182" s="786"/>
      <c r="I182" s="786"/>
    </row>
    <row r="183" spans="1:9" s="790" customFormat="1" ht="15" hidden="1" outlineLevel="2">
      <c r="A183" s="779"/>
      <c r="B183" s="1132"/>
      <c r="C183" s="1133"/>
      <c r="D183" s="788"/>
      <c r="E183" s="789"/>
      <c r="F183" s="786"/>
      <c r="G183" s="786"/>
      <c r="H183" s="786"/>
      <c r="I183" s="786"/>
    </row>
    <row r="184" spans="1:9" s="790" customFormat="1" ht="30" hidden="1" customHeight="1" outlineLevel="2">
      <c r="A184" s="779"/>
      <c r="B184" s="1132"/>
      <c r="C184" s="1133"/>
      <c r="D184" s="788"/>
      <c r="E184" s="789"/>
      <c r="F184" s="786"/>
      <c r="G184" s="786"/>
      <c r="H184" s="786"/>
      <c r="I184" s="786"/>
    </row>
    <row r="185" spans="1:9" s="790" customFormat="1" ht="28.5" hidden="1" customHeight="1" outlineLevel="2">
      <c r="A185" s="779"/>
      <c r="B185" s="1132"/>
      <c r="C185" s="1133"/>
      <c r="D185" s="788"/>
      <c r="E185" s="789"/>
      <c r="F185" s="786"/>
      <c r="G185" s="786"/>
      <c r="H185" s="786"/>
      <c r="I185" s="786"/>
    </row>
    <row r="186" spans="1:9" s="790" customFormat="1" ht="28.5" hidden="1" customHeight="1" outlineLevel="2">
      <c r="A186" s="779"/>
      <c r="B186" s="1132"/>
      <c r="C186" s="1133"/>
      <c r="D186" s="788"/>
      <c r="E186" s="789"/>
      <c r="F186" s="786"/>
      <c r="G186" s="786"/>
      <c r="H186" s="786"/>
      <c r="I186" s="786"/>
    </row>
    <row r="187" spans="1:9" s="790" customFormat="1" ht="15" hidden="1" outlineLevel="2">
      <c r="A187" s="791"/>
      <c r="B187" s="805"/>
      <c r="C187" s="806"/>
      <c r="D187" s="799"/>
      <c r="E187" s="800"/>
      <c r="F187" s="793"/>
      <c r="G187" s="793"/>
      <c r="H187" s="793"/>
      <c r="I187" s="793"/>
    </row>
    <row r="188" spans="1:9" s="770" customFormat="1" ht="15" hidden="1" outlineLevel="2">
      <c r="A188" s="771"/>
      <c r="B188" s="772" t="s">
        <v>717</v>
      </c>
      <c r="C188" s="773" t="s">
        <v>495</v>
      </c>
      <c r="D188" s="774">
        <v>2100200185</v>
      </c>
      <c r="E188" s="775">
        <f>SUM(E189:E203)</f>
        <v>0</v>
      </c>
      <c r="F188" s="776">
        <f>+[28]เรียงตามเขต!H21</f>
        <v>0</v>
      </c>
      <c r="G188" s="776">
        <f>+[28]เรียงตามเขต!I21</f>
        <v>0</v>
      </c>
      <c r="H188" s="776">
        <f>E188-F188-G188</f>
        <v>0</v>
      </c>
      <c r="I188" s="776">
        <v>0</v>
      </c>
    </row>
    <row r="189" spans="1:9" s="783" customFormat="1" ht="47.25" hidden="1" customHeight="1" outlineLevel="2">
      <c r="A189" s="779"/>
      <c r="B189" s="1132"/>
      <c r="C189" s="1133"/>
      <c r="D189" s="780"/>
      <c r="E189" s="781"/>
      <c r="F189" s="782"/>
      <c r="G189" s="782"/>
      <c r="H189" s="782"/>
      <c r="I189" s="782"/>
    </row>
    <row r="190" spans="1:9" s="783" customFormat="1" ht="15" hidden="1" outlineLevel="2">
      <c r="A190" s="779"/>
      <c r="B190" s="1132"/>
      <c r="C190" s="1133"/>
      <c r="D190" s="780"/>
      <c r="E190" s="781"/>
      <c r="F190" s="782"/>
      <c r="G190" s="782"/>
      <c r="H190" s="782"/>
      <c r="I190" s="782"/>
    </row>
    <row r="191" spans="1:9" s="783" customFormat="1" ht="18" hidden="1" customHeight="1" outlineLevel="2">
      <c r="A191" s="779"/>
      <c r="B191" s="1132"/>
      <c r="C191" s="1133"/>
      <c r="D191" s="780"/>
      <c r="E191" s="781"/>
      <c r="F191" s="782"/>
      <c r="G191" s="782"/>
      <c r="H191" s="782"/>
      <c r="I191" s="782"/>
    </row>
    <row r="192" spans="1:9" s="783" customFormat="1" ht="18" hidden="1" customHeight="1" outlineLevel="2">
      <c r="A192" s="779"/>
      <c r="B192" s="1132"/>
      <c r="C192" s="1133"/>
      <c r="D192" s="780"/>
      <c r="E192" s="781"/>
      <c r="F192" s="782"/>
      <c r="G192" s="782"/>
      <c r="H192" s="782"/>
      <c r="I192" s="782"/>
    </row>
    <row r="193" spans="1:9" s="787" customFormat="1" ht="18.75" hidden="1" customHeight="1" outlineLevel="2">
      <c r="A193" s="779"/>
      <c r="B193" s="1132"/>
      <c r="C193" s="1133"/>
      <c r="D193" s="784"/>
      <c r="E193" s="785"/>
      <c r="F193" s="786"/>
      <c r="G193" s="786"/>
      <c r="H193" s="786"/>
      <c r="I193" s="786"/>
    </row>
    <row r="194" spans="1:9" s="787" customFormat="1" ht="48.75" hidden="1" customHeight="1" outlineLevel="2">
      <c r="A194" s="779"/>
      <c r="B194" s="1132"/>
      <c r="C194" s="1133"/>
      <c r="D194" s="784"/>
      <c r="E194" s="785"/>
      <c r="F194" s="786"/>
      <c r="G194" s="786"/>
      <c r="H194" s="786"/>
      <c r="I194" s="786"/>
    </row>
    <row r="195" spans="1:9" s="787" customFormat="1" ht="33" hidden="1" customHeight="1" outlineLevel="2">
      <c r="A195" s="779"/>
      <c r="B195" s="1132"/>
      <c r="C195" s="1133"/>
      <c r="D195" s="784"/>
      <c r="E195" s="785"/>
      <c r="F195" s="786"/>
      <c r="G195" s="786"/>
      <c r="H195" s="786"/>
      <c r="I195" s="786"/>
    </row>
    <row r="196" spans="1:9" s="787" customFormat="1" ht="33" hidden="1" customHeight="1" outlineLevel="2">
      <c r="A196" s="779"/>
      <c r="B196" s="1132"/>
      <c r="C196" s="1133"/>
      <c r="D196" s="784"/>
      <c r="E196" s="785"/>
      <c r="F196" s="786"/>
      <c r="G196" s="786"/>
      <c r="H196" s="786"/>
      <c r="I196" s="786"/>
    </row>
    <row r="197" spans="1:9" s="787" customFormat="1" ht="30.75" hidden="1" customHeight="1" outlineLevel="2">
      <c r="A197" s="779"/>
      <c r="B197" s="1132"/>
      <c r="C197" s="1133"/>
      <c r="D197" s="784"/>
      <c r="E197" s="785"/>
      <c r="F197" s="786"/>
      <c r="G197" s="786"/>
      <c r="H197" s="786"/>
      <c r="I197" s="786"/>
    </row>
    <row r="198" spans="1:9" s="790" customFormat="1" ht="36" hidden="1" customHeight="1" outlineLevel="2">
      <c r="A198" s="779"/>
      <c r="B198" s="1132"/>
      <c r="C198" s="1133"/>
      <c r="D198" s="788"/>
      <c r="E198" s="789"/>
      <c r="F198" s="786"/>
      <c r="G198" s="786"/>
      <c r="H198" s="786"/>
      <c r="I198" s="786"/>
    </row>
    <row r="199" spans="1:9" s="790" customFormat="1" ht="15" hidden="1" outlineLevel="2">
      <c r="A199" s="779"/>
      <c r="B199" s="1132"/>
      <c r="C199" s="1133"/>
      <c r="D199" s="788"/>
      <c r="E199" s="789"/>
      <c r="F199" s="786"/>
      <c r="G199" s="786"/>
      <c r="H199" s="786"/>
      <c r="I199" s="786"/>
    </row>
    <row r="200" spans="1:9" s="790" customFormat="1" ht="30" hidden="1" customHeight="1" outlineLevel="2">
      <c r="A200" s="779"/>
      <c r="B200" s="1132"/>
      <c r="C200" s="1133"/>
      <c r="D200" s="788"/>
      <c r="E200" s="789"/>
      <c r="F200" s="786"/>
      <c r="G200" s="786"/>
      <c r="H200" s="786"/>
      <c r="I200" s="786"/>
    </row>
    <row r="201" spans="1:9" s="790" customFormat="1" ht="28.5" hidden="1" customHeight="1" outlineLevel="2">
      <c r="A201" s="779"/>
      <c r="B201" s="1132"/>
      <c r="C201" s="1133"/>
      <c r="D201" s="788"/>
      <c r="E201" s="789"/>
      <c r="F201" s="786"/>
      <c r="G201" s="786"/>
      <c r="H201" s="786"/>
      <c r="I201" s="786"/>
    </row>
    <row r="202" spans="1:9" s="790" customFormat="1" ht="28.5" hidden="1" customHeight="1" outlineLevel="2">
      <c r="A202" s="779"/>
      <c r="B202" s="1132"/>
      <c r="C202" s="1133"/>
      <c r="D202" s="788"/>
      <c r="E202" s="789"/>
      <c r="F202" s="786"/>
      <c r="G202" s="786"/>
      <c r="H202" s="786"/>
      <c r="I202" s="786"/>
    </row>
    <row r="203" spans="1:9" s="790" customFormat="1" ht="15" hidden="1" outlineLevel="2">
      <c r="A203" s="791"/>
      <c r="B203" s="1139"/>
      <c r="C203" s="1140"/>
      <c r="D203" s="799"/>
      <c r="E203" s="792"/>
      <c r="F203" s="793"/>
      <c r="G203" s="793"/>
      <c r="H203" s="793"/>
      <c r="I203" s="793"/>
    </row>
    <row r="204" spans="1:9" s="770" customFormat="1" ht="15" hidden="1" outlineLevel="2">
      <c r="A204" s="771"/>
      <c r="B204" s="772" t="s">
        <v>718</v>
      </c>
      <c r="C204" s="773" t="s">
        <v>497</v>
      </c>
      <c r="D204" s="774">
        <v>2100200189</v>
      </c>
      <c r="E204" s="775">
        <f>SUM(E205:E218)</f>
        <v>0</v>
      </c>
      <c r="F204" s="776">
        <f>+[28]เรียงตามเขต!H22</f>
        <v>0</v>
      </c>
      <c r="G204" s="776">
        <f>+[28]เรียงตามเขต!I22</f>
        <v>0</v>
      </c>
      <c r="H204" s="776">
        <f>E204-F204-G204</f>
        <v>0</v>
      </c>
      <c r="I204" s="776">
        <v>0</v>
      </c>
    </row>
    <row r="205" spans="1:9" s="783" customFormat="1" ht="47.25" hidden="1" customHeight="1" outlineLevel="2">
      <c r="A205" s="779"/>
      <c r="B205" s="1132"/>
      <c r="C205" s="1133"/>
      <c r="D205" s="780"/>
      <c r="E205" s="781"/>
      <c r="F205" s="782"/>
      <c r="G205" s="782"/>
      <c r="H205" s="782"/>
      <c r="I205" s="782"/>
    </row>
    <row r="206" spans="1:9" s="783" customFormat="1" ht="15" hidden="1" outlineLevel="2">
      <c r="A206" s="779"/>
      <c r="B206" s="1132"/>
      <c r="C206" s="1133"/>
      <c r="D206" s="780"/>
      <c r="E206" s="781"/>
      <c r="F206" s="782"/>
      <c r="G206" s="782"/>
      <c r="H206" s="782"/>
      <c r="I206" s="782"/>
    </row>
    <row r="207" spans="1:9" s="783" customFormat="1" ht="18" hidden="1" customHeight="1" outlineLevel="2">
      <c r="A207" s="779"/>
      <c r="B207" s="1132"/>
      <c r="C207" s="1133"/>
      <c r="D207" s="780"/>
      <c r="E207" s="781"/>
      <c r="F207" s="782"/>
      <c r="G207" s="782"/>
      <c r="H207" s="782"/>
      <c r="I207" s="782"/>
    </row>
    <row r="208" spans="1:9" s="783" customFormat="1" ht="18" hidden="1" customHeight="1" outlineLevel="2">
      <c r="A208" s="779"/>
      <c r="B208" s="1132"/>
      <c r="C208" s="1133"/>
      <c r="D208" s="780"/>
      <c r="E208" s="781"/>
      <c r="F208" s="782"/>
      <c r="G208" s="782"/>
      <c r="H208" s="782"/>
      <c r="I208" s="782"/>
    </row>
    <row r="209" spans="1:9" s="787" customFormat="1" ht="18.75" hidden="1" customHeight="1" outlineLevel="2">
      <c r="A209" s="779"/>
      <c r="B209" s="1132"/>
      <c r="C209" s="1133"/>
      <c r="D209" s="784"/>
      <c r="E209" s="785"/>
      <c r="F209" s="786"/>
      <c r="G209" s="786"/>
      <c r="H209" s="786"/>
      <c r="I209" s="786"/>
    </row>
    <row r="210" spans="1:9" s="787" customFormat="1" ht="48.75" hidden="1" customHeight="1" outlineLevel="2">
      <c r="A210" s="779"/>
      <c r="B210" s="1132"/>
      <c r="C210" s="1133"/>
      <c r="D210" s="784"/>
      <c r="E210" s="785"/>
      <c r="F210" s="786"/>
      <c r="G210" s="786"/>
      <c r="H210" s="786"/>
      <c r="I210" s="786"/>
    </row>
    <row r="211" spans="1:9" s="787" customFormat="1" ht="33" hidden="1" customHeight="1" outlineLevel="2">
      <c r="A211" s="779"/>
      <c r="B211" s="1132"/>
      <c r="C211" s="1133"/>
      <c r="D211" s="784"/>
      <c r="E211" s="785"/>
      <c r="F211" s="786"/>
      <c r="G211" s="786"/>
      <c r="H211" s="786"/>
      <c r="I211" s="786"/>
    </row>
    <row r="212" spans="1:9" s="787" customFormat="1" ht="33" hidden="1" customHeight="1" outlineLevel="2">
      <c r="A212" s="791"/>
      <c r="B212" s="1137"/>
      <c r="C212" s="1138"/>
      <c r="D212" s="799"/>
      <c r="E212" s="800"/>
      <c r="F212" s="793"/>
      <c r="G212" s="793"/>
      <c r="H212" s="793"/>
      <c r="I212" s="793"/>
    </row>
    <row r="213" spans="1:9" s="790" customFormat="1" ht="36" hidden="1" customHeight="1" outlineLevel="2">
      <c r="A213" s="779"/>
      <c r="B213" s="1132"/>
      <c r="C213" s="1133"/>
      <c r="D213" s="788"/>
      <c r="E213" s="789"/>
      <c r="F213" s="786"/>
      <c r="G213" s="786"/>
      <c r="H213" s="786"/>
      <c r="I213" s="786"/>
    </row>
    <row r="214" spans="1:9" s="790" customFormat="1" ht="15" hidden="1" outlineLevel="2">
      <c r="A214" s="779"/>
      <c r="B214" s="1132"/>
      <c r="C214" s="1133"/>
      <c r="D214" s="788"/>
      <c r="E214" s="789"/>
      <c r="F214" s="786"/>
      <c r="G214" s="786"/>
      <c r="H214" s="786"/>
      <c r="I214" s="786"/>
    </row>
    <row r="215" spans="1:9" s="790" customFormat="1" ht="30" hidden="1" customHeight="1" outlineLevel="2">
      <c r="A215" s="779"/>
      <c r="B215" s="1132"/>
      <c r="C215" s="1133"/>
      <c r="D215" s="788"/>
      <c r="E215" s="789"/>
      <c r="F215" s="786"/>
      <c r="G215" s="786"/>
      <c r="H215" s="786"/>
      <c r="I215" s="786"/>
    </row>
    <row r="216" spans="1:9" s="790" customFormat="1" ht="28.5" hidden="1" customHeight="1" outlineLevel="2">
      <c r="A216" s="779"/>
      <c r="B216" s="1132"/>
      <c r="C216" s="1133"/>
      <c r="D216" s="788"/>
      <c r="E216" s="789"/>
      <c r="F216" s="786"/>
      <c r="G216" s="786"/>
      <c r="H216" s="786"/>
      <c r="I216" s="786"/>
    </row>
    <row r="217" spans="1:9" s="790" customFormat="1" ht="28.5" hidden="1" customHeight="1" outlineLevel="2">
      <c r="A217" s="779"/>
      <c r="B217" s="1132"/>
      <c r="C217" s="1133"/>
      <c r="D217" s="788"/>
      <c r="E217" s="789"/>
      <c r="F217" s="786"/>
      <c r="G217" s="786"/>
      <c r="H217" s="786"/>
      <c r="I217" s="786"/>
    </row>
    <row r="218" spans="1:9" s="790" customFormat="1" ht="15" hidden="1" customHeight="1" outlineLevel="2">
      <c r="A218" s="791"/>
      <c r="B218" s="1137"/>
      <c r="C218" s="1138"/>
      <c r="D218" s="792"/>
      <c r="E218" s="792"/>
      <c r="F218" s="793"/>
      <c r="G218" s="793"/>
      <c r="H218" s="793"/>
      <c r="I218" s="793"/>
    </row>
    <row r="219" spans="1:9" s="770" customFormat="1" hidden="1" outlineLevel="1">
      <c r="A219" s="763"/>
      <c r="B219" s="764" t="s">
        <v>674</v>
      </c>
      <c r="C219" s="765"/>
      <c r="D219" s="766"/>
      <c r="E219" s="767">
        <f>+E220+E235+E250+E267+E283</f>
        <v>0</v>
      </c>
      <c r="F219" s="767">
        <f>+F220+F235+F250+F267+F283</f>
        <v>0</v>
      </c>
      <c r="G219" s="767">
        <f>+G220+G235+G250+G267+G283</f>
        <v>0</v>
      </c>
      <c r="H219" s="767">
        <f>+H220+H235+H250+H267+H283</f>
        <v>0</v>
      </c>
      <c r="I219" s="768">
        <f>SUM(I220:I283)</f>
        <v>0</v>
      </c>
    </row>
    <row r="220" spans="1:9" s="770" customFormat="1" ht="15" hidden="1" outlineLevel="1">
      <c r="A220" s="771"/>
      <c r="B220" s="807" t="s">
        <v>720</v>
      </c>
      <c r="C220" s="773" t="s">
        <v>500</v>
      </c>
      <c r="D220" s="774">
        <v>2100200094</v>
      </c>
      <c r="E220" s="775">
        <f>SUM(E221:E234)</f>
        <v>0</v>
      </c>
      <c r="F220" s="776">
        <f>+[28]เรียงตามเขต!H24</f>
        <v>0</v>
      </c>
      <c r="G220" s="776">
        <f>+[28]เรียงตามเขต!I24</f>
        <v>0</v>
      </c>
      <c r="H220" s="776">
        <f>E220-F220-G220</f>
        <v>0</v>
      </c>
      <c r="I220" s="776">
        <v>0</v>
      </c>
    </row>
    <row r="221" spans="1:9" s="783" customFormat="1" ht="47.25" hidden="1" customHeight="1" outlineLevel="2">
      <c r="A221" s="779"/>
      <c r="B221" s="1132"/>
      <c r="C221" s="1133"/>
      <c r="D221" s="780"/>
      <c r="E221" s="781"/>
      <c r="F221" s="782"/>
      <c r="G221" s="782"/>
      <c r="H221" s="782"/>
      <c r="I221" s="782"/>
    </row>
    <row r="222" spans="1:9" s="783" customFormat="1" ht="15" hidden="1" outlineLevel="2">
      <c r="A222" s="779"/>
      <c r="B222" s="1132"/>
      <c r="C222" s="1133"/>
      <c r="D222" s="780"/>
      <c r="E222" s="781"/>
      <c r="F222" s="782"/>
      <c r="G222" s="782"/>
      <c r="H222" s="782"/>
      <c r="I222" s="782"/>
    </row>
    <row r="223" spans="1:9" s="783" customFormat="1" ht="18" hidden="1" customHeight="1" outlineLevel="2">
      <c r="A223" s="779"/>
      <c r="B223" s="1132"/>
      <c r="C223" s="1133"/>
      <c r="D223" s="780"/>
      <c r="E223" s="781"/>
      <c r="F223" s="782"/>
      <c r="G223" s="782"/>
      <c r="H223" s="782"/>
      <c r="I223" s="782"/>
    </row>
    <row r="224" spans="1:9" s="783" customFormat="1" ht="18" hidden="1" customHeight="1" outlineLevel="2">
      <c r="A224" s="779"/>
      <c r="B224" s="1132"/>
      <c r="C224" s="1133"/>
      <c r="D224" s="780"/>
      <c r="E224" s="781"/>
      <c r="F224" s="782"/>
      <c r="G224" s="782"/>
      <c r="H224" s="782"/>
      <c r="I224" s="782"/>
    </row>
    <row r="225" spans="1:9" s="787" customFormat="1" ht="18.75" hidden="1" customHeight="1" outlineLevel="2">
      <c r="A225" s="779"/>
      <c r="B225" s="1132"/>
      <c r="C225" s="1133"/>
      <c r="D225" s="784"/>
      <c r="E225" s="785"/>
      <c r="F225" s="786"/>
      <c r="G225" s="786"/>
      <c r="H225" s="786"/>
      <c r="I225" s="786"/>
    </row>
    <row r="226" spans="1:9" s="787" customFormat="1" ht="48.75" hidden="1" customHeight="1" outlineLevel="2">
      <c r="A226" s="791"/>
      <c r="B226" s="1137"/>
      <c r="C226" s="1138"/>
      <c r="D226" s="799"/>
      <c r="E226" s="800"/>
      <c r="F226" s="793"/>
      <c r="G226" s="793"/>
      <c r="H226" s="793"/>
      <c r="I226" s="793"/>
    </row>
    <row r="227" spans="1:9" s="787" customFormat="1" ht="33" hidden="1" customHeight="1" outlineLevel="2">
      <c r="A227" s="779"/>
      <c r="B227" s="1132"/>
      <c r="C227" s="1133"/>
      <c r="D227" s="784"/>
      <c r="E227" s="785"/>
      <c r="F227" s="786"/>
      <c r="G227" s="786"/>
      <c r="H227" s="786"/>
      <c r="I227" s="786"/>
    </row>
    <row r="228" spans="1:9" s="787" customFormat="1" ht="33" hidden="1" customHeight="1" outlineLevel="2">
      <c r="A228" s="779"/>
      <c r="B228" s="1132"/>
      <c r="C228" s="1133"/>
      <c r="D228" s="784"/>
      <c r="E228" s="785"/>
      <c r="F228" s="786"/>
      <c r="G228" s="786"/>
      <c r="H228" s="786"/>
      <c r="I228" s="786"/>
    </row>
    <row r="229" spans="1:9" s="790" customFormat="1" ht="36" hidden="1" customHeight="1" outlineLevel="2">
      <c r="A229" s="779"/>
      <c r="B229" s="1132"/>
      <c r="C229" s="1133"/>
      <c r="D229" s="788"/>
      <c r="E229" s="789"/>
      <c r="F229" s="786"/>
      <c r="G229" s="786"/>
      <c r="H229" s="786"/>
      <c r="I229" s="786"/>
    </row>
    <row r="230" spans="1:9" s="790" customFormat="1" ht="15" hidden="1" outlineLevel="2">
      <c r="A230" s="779"/>
      <c r="B230" s="1132" t="s">
        <v>820</v>
      </c>
      <c r="C230" s="1133"/>
      <c r="D230" s="788"/>
      <c r="E230" s="789">
        <v>0</v>
      </c>
      <c r="F230" s="786"/>
      <c r="G230" s="786"/>
      <c r="H230" s="786"/>
      <c r="I230" s="786"/>
    </row>
    <row r="231" spans="1:9" s="790" customFormat="1" ht="30" hidden="1" customHeight="1" outlineLevel="2">
      <c r="A231" s="779"/>
      <c r="B231" s="1132" t="s">
        <v>821</v>
      </c>
      <c r="C231" s="1133"/>
      <c r="D231" s="788"/>
      <c r="E231" s="789">
        <v>0</v>
      </c>
      <c r="F231" s="786"/>
      <c r="G231" s="786"/>
      <c r="H231" s="786"/>
      <c r="I231" s="786"/>
    </row>
    <row r="232" spans="1:9" s="790" customFormat="1" ht="28.5" hidden="1" customHeight="1" outlineLevel="2">
      <c r="A232" s="779"/>
      <c r="B232" s="1132" t="s">
        <v>822</v>
      </c>
      <c r="C232" s="1133"/>
      <c r="D232" s="788"/>
      <c r="E232" s="789">
        <v>0</v>
      </c>
      <c r="F232" s="786"/>
      <c r="G232" s="786"/>
      <c r="H232" s="786"/>
      <c r="I232" s="786"/>
    </row>
    <row r="233" spans="1:9" s="790" customFormat="1" ht="28.5" hidden="1" customHeight="1" outlineLevel="2">
      <c r="A233" s="779"/>
      <c r="B233" s="1132" t="s">
        <v>823</v>
      </c>
      <c r="C233" s="1133"/>
      <c r="D233" s="788"/>
      <c r="E233" s="789">
        <v>0</v>
      </c>
      <c r="F233" s="786"/>
      <c r="G233" s="786"/>
      <c r="H233" s="786"/>
      <c r="I233" s="786"/>
    </row>
    <row r="234" spans="1:9" s="790" customFormat="1" ht="15" hidden="1" outlineLevel="2">
      <c r="A234" s="791"/>
      <c r="B234" s="1137"/>
      <c r="C234" s="1138"/>
      <c r="D234" s="799"/>
      <c r="E234" s="800"/>
      <c r="F234" s="793"/>
      <c r="G234" s="793"/>
      <c r="H234" s="793"/>
      <c r="I234" s="793"/>
    </row>
    <row r="235" spans="1:9" s="770" customFormat="1" ht="15" hidden="1" outlineLevel="2">
      <c r="A235" s="771"/>
      <c r="B235" s="772" t="s">
        <v>721</v>
      </c>
      <c r="C235" s="773" t="s">
        <v>502</v>
      </c>
      <c r="D235" s="808">
        <v>2100200173</v>
      </c>
      <c r="E235" s="775">
        <f>SUM(E236:E249)</f>
        <v>0</v>
      </c>
      <c r="F235" s="776">
        <f>+[28]เรียงตามเขต!H25</f>
        <v>0</v>
      </c>
      <c r="G235" s="776">
        <f>+[28]เรียงตามเขต!I25</f>
        <v>0</v>
      </c>
      <c r="H235" s="776">
        <f>E235-F235-G235</f>
        <v>0</v>
      </c>
      <c r="I235" s="776">
        <v>0</v>
      </c>
    </row>
    <row r="236" spans="1:9" s="783" customFormat="1" ht="47.25" hidden="1" customHeight="1" outlineLevel="2">
      <c r="A236" s="779"/>
      <c r="B236" s="1132"/>
      <c r="C236" s="1133"/>
      <c r="D236" s="780"/>
      <c r="E236" s="781"/>
      <c r="F236" s="782"/>
      <c r="G236" s="782"/>
      <c r="H236" s="782"/>
      <c r="I236" s="782"/>
    </row>
    <row r="237" spans="1:9" s="783" customFormat="1" ht="15" hidden="1" outlineLevel="2">
      <c r="A237" s="779"/>
      <c r="B237" s="1132"/>
      <c r="C237" s="1133"/>
      <c r="D237" s="780"/>
      <c r="E237" s="781"/>
      <c r="F237" s="782"/>
      <c r="G237" s="782"/>
      <c r="H237" s="782"/>
      <c r="I237" s="782"/>
    </row>
    <row r="238" spans="1:9" s="783" customFormat="1" ht="18" hidden="1" customHeight="1" outlineLevel="2">
      <c r="A238" s="779"/>
      <c r="B238" s="1132"/>
      <c r="C238" s="1133"/>
      <c r="D238" s="780"/>
      <c r="E238" s="781"/>
      <c r="F238" s="782"/>
      <c r="G238" s="782"/>
      <c r="H238" s="782"/>
      <c r="I238" s="782"/>
    </row>
    <row r="239" spans="1:9" s="783" customFormat="1" ht="18" hidden="1" customHeight="1" outlineLevel="2">
      <c r="A239" s="779"/>
      <c r="B239" s="1132"/>
      <c r="C239" s="1133"/>
      <c r="D239" s="780"/>
      <c r="E239" s="781"/>
      <c r="F239" s="782"/>
      <c r="G239" s="782"/>
      <c r="H239" s="782"/>
      <c r="I239" s="782"/>
    </row>
    <row r="240" spans="1:9" s="787" customFormat="1" ht="18.75" hidden="1" customHeight="1" outlineLevel="2">
      <c r="A240" s="779"/>
      <c r="B240" s="1132"/>
      <c r="C240" s="1133"/>
      <c r="D240" s="784"/>
      <c r="E240" s="785"/>
      <c r="F240" s="786"/>
      <c r="G240" s="786"/>
      <c r="H240" s="786"/>
      <c r="I240" s="786"/>
    </row>
    <row r="241" spans="1:10" s="787" customFormat="1" ht="48.75" hidden="1" customHeight="1" outlineLevel="2">
      <c r="A241" s="779"/>
      <c r="B241" s="1132"/>
      <c r="C241" s="1133"/>
      <c r="D241" s="784"/>
      <c r="E241" s="785"/>
      <c r="F241" s="786"/>
      <c r="G241" s="786"/>
      <c r="H241" s="786"/>
      <c r="I241" s="786"/>
    </row>
    <row r="242" spans="1:10" s="787" customFormat="1" ht="33" hidden="1" customHeight="1" outlineLevel="2">
      <c r="A242" s="779"/>
      <c r="B242" s="1132"/>
      <c r="C242" s="1133"/>
      <c r="D242" s="784"/>
      <c r="E242" s="785"/>
      <c r="F242" s="786"/>
      <c r="G242" s="786"/>
      <c r="H242" s="786"/>
      <c r="I242" s="786"/>
    </row>
    <row r="243" spans="1:10" s="787" customFormat="1" ht="33" hidden="1" customHeight="1" outlineLevel="2">
      <c r="A243" s="779"/>
      <c r="B243" s="1132"/>
      <c r="C243" s="1133"/>
      <c r="D243" s="784"/>
      <c r="E243" s="785"/>
      <c r="F243" s="786"/>
      <c r="G243" s="786"/>
      <c r="H243" s="786"/>
      <c r="I243" s="786"/>
    </row>
    <row r="244" spans="1:10" s="790" customFormat="1" ht="36" hidden="1" customHeight="1" outlineLevel="2">
      <c r="A244" s="779"/>
      <c r="B244" s="1132"/>
      <c r="C244" s="1133"/>
      <c r="D244" s="788"/>
      <c r="E244" s="789"/>
      <c r="F244" s="786"/>
      <c r="G244" s="786"/>
      <c r="H244" s="786"/>
      <c r="I244" s="786"/>
    </row>
    <row r="245" spans="1:10" s="790" customFormat="1" ht="15" hidden="1" outlineLevel="2">
      <c r="A245" s="779"/>
      <c r="B245" s="1132"/>
      <c r="C245" s="1133"/>
      <c r="D245" s="788"/>
      <c r="E245" s="789"/>
      <c r="F245" s="786"/>
      <c r="G245" s="786"/>
      <c r="H245" s="786"/>
      <c r="I245" s="786"/>
    </row>
    <row r="246" spans="1:10" s="790" customFormat="1" ht="30" hidden="1" customHeight="1" outlineLevel="2">
      <c r="A246" s="779"/>
      <c r="B246" s="1132"/>
      <c r="C246" s="1133"/>
      <c r="D246" s="788"/>
      <c r="E246" s="789"/>
      <c r="F246" s="786"/>
      <c r="G246" s="786"/>
      <c r="H246" s="786"/>
      <c r="I246" s="786"/>
    </row>
    <row r="247" spans="1:10" s="790" customFormat="1" ht="28.5" hidden="1" customHeight="1" outlineLevel="2">
      <c r="A247" s="779"/>
      <c r="B247" s="1132"/>
      <c r="C247" s="1133"/>
      <c r="D247" s="788"/>
      <c r="E247" s="789"/>
      <c r="F247" s="786"/>
      <c r="G247" s="786"/>
      <c r="H247" s="786"/>
      <c r="I247" s="786"/>
    </row>
    <row r="248" spans="1:10" s="790" customFormat="1" ht="28.5" hidden="1" customHeight="1" outlineLevel="2">
      <c r="A248" s="779"/>
      <c r="B248" s="1132"/>
      <c r="C248" s="1133"/>
      <c r="D248" s="788"/>
      <c r="E248" s="789"/>
      <c r="F248" s="786"/>
      <c r="G248" s="786"/>
      <c r="H248" s="786"/>
      <c r="I248" s="786"/>
    </row>
    <row r="249" spans="1:10" s="790" customFormat="1" ht="15" hidden="1" outlineLevel="2">
      <c r="A249" s="779"/>
      <c r="B249" s="1141"/>
      <c r="C249" s="1142"/>
      <c r="D249" s="784"/>
      <c r="E249" s="788"/>
      <c r="F249" s="786"/>
      <c r="G249" s="786"/>
      <c r="H249" s="786"/>
      <c r="I249" s="786"/>
    </row>
    <row r="250" spans="1:10" s="770" customFormat="1" ht="15" hidden="1" outlineLevel="2">
      <c r="A250" s="771"/>
      <c r="B250" s="772" t="s">
        <v>722</v>
      </c>
      <c r="C250" s="773" t="s">
        <v>504</v>
      </c>
      <c r="D250" s="808">
        <v>2100200175</v>
      </c>
      <c r="E250" s="775">
        <f>SUM(E251:E266)</f>
        <v>0</v>
      </c>
      <c r="F250" s="776">
        <f>+[28]เรียงตามเขต!H26</f>
        <v>0</v>
      </c>
      <c r="G250" s="776">
        <f>+[28]เรียงตามเขต!I26</f>
        <v>0</v>
      </c>
      <c r="H250" s="776">
        <f>E250-F250-G250</f>
        <v>0</v>
      </c>
      <c r="I250" s="776">
        <v>0</v>
      </c>
      <c r="J250" s="809"/>
    </row>
    <row r="251" spans="1:10" s="783" customFormat="1" ht="47.25" hidden="1" customHeight="1" outlineLevel="2">
      <c r="A251" s="779"/>
      <c r="B251" s="1132"/>
      <c r="C251" s="1133"/>
      <c r="D251" s="780"/>
      <c r="E251" s="781"/>
      <c r="F251" s="782"/>
      <c r="G251" s="782"/>
      <c r="H251" s="782"/>
      <c r="I251" s="782"/>
    </row>
    <row r="252" spans="1:10" s="783" customFormat="1" ht="15" hidden="1" outlineLevel="2">
      <c r="A252" s="779"/>
      <c r="B252" s="1132"/>
      <c r="C252" s="1133"/>
      <c r="D252" s="780"/>
      <c r="E252" s="781"/>
      <c r="F252" s="782"/>
      <c r="G252" s="782"/>
      <c r="H252" s="782"/>
      <c r="I252" s="782"/>
    </row>
    <row r="253" spans="1:10" s="783" customFormat="1" ht="18" hidden="1" customHeight="1" outlineLevel="2">
      <c r="A253" s="779"/>
      <c r="B253" s="1132"/>
      <c r="C253" s="1133"/>
      <c r="D253" s="780"/>
      <c r="E253" s="781"/>
      <c r="F253" s="782"/>
      <c r="G253" s="782"/>
      <c r="H253" s="782"/>
      <c r="I253" s="782"/>
    </row>
    <row r="254" spans="1:10" s="783" customFormat="1" ht="18" hidden="1" customHeight="1" outlineLevel="2">
      <c r="A254" s="779"/>
      <c r="B254" s="1132"/>
      <c r="C254" s="1133"/>
      <c r="D254" s="780"/>
      <c r="E254" s="781"/>
      <c r="F254" s="782"/>
      <c r="G254" s="782"/>
      <c r="H254" s="782"/>
      <c r="I254" s="782"/>
    </row>
    <row r="255" spans="1:10" s="787" customFormat="1" ht="18.75" hidden="1" customHeight="1" outlineLevel="2">
      <c r="A255" s="779"/>
      <c r="B255" s="1132"/>
      <c r="C255" s="1133"/>
      <c r="D255" s="784"/>
      <c r="E255" s="785"/>
      <c r="F255" s="786"/>
      <c r="G255" s="786"/>
      <c r="H255" s="786"/>
      <c r="I255" s="786"/>
    </row>
    <row r="256" spans="1:10" s="787" customFormat="1" ht="48.75" hidden="1" customHeight="1" outlineLevel="2">
      <c r="A256" s="779"/>
      <c r="B256" s="1132"/>
      <c r="C256" s="1133"/>
      <c r="D256" s="784"/>
      <c r="E256" s="785"/>
      <c r="F256" s="786"/>
      <c r="G256" s="786"/>
      <c r="H256" s="786"/>
      <c r="I256" s="786"/>
    </row>
    <row r="257" spans="1:9" s="787" customFormat="1" ht="33" hidden="1" customHeight="1" outlineLevel="2">
      <c r="A257" s="779"/>
      <c r="B257" s="1132"/>
      <c r="C257" s="1133"/>
      <c r="D257" s="784"/>
      <c r="E257" s="785"/>
      <c r="F257" s="786"/>
      <c r="G257" s="786"/>
      <c r="H257" s="786"/>
      <c r="I257" s="786"/>
    </row>
    <row r="258" spans="1:9" s="787" customFormat="1" ht="33" hidden="1" customHeight="1" outlineLevel="2">
      <c r="A258" s="779"/>
      <c r="B258" s="1132"/>
      <c r="C258" s="1133"/>
      <c r="D258" s="784"/>
      <c r="E258" s="785"/>
      <c r="F258" s="786"/>
      <c r="G258" s="786"/>
      <c r="H258" s="786"/>
      <c r="I258" s="786"/>
    </row>
    <row r="259" spans="1:9" s="787" customFormat="1" ht="30.75" hidden="1" customHeight="1" outlineLevel="2">
      <c r="A259" s="779"/>
      <c r="B259" s="1132"/>
      <c r="C259" s="1133"/>
      <c r="D259" s="784"/>
      <c r="E259" s="785"/>
      <c r="F259" s="786"/>
      <c r="G259" s="786"/>
      <c r="H259" s="786"/>
      <c r="I259" s="786"/>
    </row>
    <row r="260" spans="1:9" s="790" customFormat="1" ht="15" hidden="1" outlineLevel="2">
      <c r="A260" s="779"/>
      <c r="B260" s="1132"/>
      <c r="C260" s="1133"/>
      <c r="D260" s="788"/>
      <c r="E260" s="789"/>
      <c r="F260" s="786"/>
      <c r="G260" s="786"/>
      <c r="H260" s="786"/>
      <c r="I260" s="786"/>
    </row>
    <row r="261" spans="1:9" s="790" customFormat="1" ht="36" hidden="1" customHeight="1" outlineLevel="2">
      <c r="A261" s="779"/>
      <c r="B261" s="1132"/>
      <c r="C261" s="1133"/>
      <c r="D261" s="788"/>
      <c r="E261" s="789"/>
      <c r="F261" s="786"/>
      <c r="G261" s="786"/>
      <c r="H261" s="786"/>
      <c r="I261" s="786"/>
    </row>
    <row r="262" spans="1:9" s="790" customFormat="1" ht="15" hidden="1" outlineLevel="2">
      <c r="A262" s="779"/>
      <c r="B262" s="1132"/>
      <c r="C262" s="1133"/>
      <c r="D262" s="788"/>
      <c r="E262" s="789">
        <v>0</v>
      </c>
      <c r="F262" s="786"/>
      <c r="G262" s="786"/>
      <c r="H262" s="786"/>
      <c r="I262" s="786"/>
    </row>
    <row r="263" spans="1:9" s="790" customFormat="1" ht="30" hidden="1" customHeight="1" outlineLevel="2">
      <c r="A263" s="779"/>
      <c r="B263" s="1132"/>
      <c r="C263" s="1133"/>
      <c r="D263" s="788"/>
      <c r="E263" s="789">
        <v>0</v>
      </c>
      <c r="F263" s="786"/>
      <c r="G263" s="786"/>
      <c r="H263" s="786"/>
      <c r="I263" s="786"/>
    </row>
    <row r="264" spans="1:9" s="790" customFormat="1" ht="28.5" hidden="1" customHeight="1" outlineLevel="2">
      <c r="A264" s="779"/>
      <c r="B264" s="1132"/>
      <c r="C264" s="1133"/>
      <c r="D264" s="788"/>
      <c r="E264" s="789">
        <v>0</v>
      </c>
      <c r="F264" s="786"/>
      <c r="G264" s="786"/>
      <c r="H264" s="786"/>
      <c r="I264" s="786"/>
    </row>
    <row r="265" spans="1:9" s="790" customFormat="1" ht="28.5" hidden="1" customHeight="1" outlineLevel="2">
      <c r="A265" s="779"/>
      <c r="B265" s="1132"/>
      <c r="C265" s="1133"/>
      <c r="D265" s="788"/>
      <c r="E265" s="789">
        <v>0</v>
      </c>
      <c r="F265" s="786"/>
      <c r="G265" s="786"/>
      <c r="H265" s="786"/>
      <c r="I265" s="786"/>
    </row>
    <row r="266" spans="1:9" s="790" customFormat="1" ht="15" hidden="1" outlineLevel="2">
      <c r="A266" s="779"/>
      <c r="B266" s="1132"/>
      <c r="C266" s="1133"/>
      <c r="D266" s="784"/>
      <c r="E266" s="785"/>
      <c r="F266" s="786"/>
      <c r="G266" s="786"/>
      <c r="H266" s="786"/>
      <c r="I266" s="786"/>
    </row>
    <row r="267" spans="1:9" s="770" customFormat="1" ht="15" hidden="1" outlineLevel="2">
      <c r="A267" s="771"/>
      <c r="B267" s="772" t="s">
        <v>723</v>
      </c>
      <c r="C267" s="773" t="s">
        <v>506</v>
      </c>
      <c r="D267" s="808">
        <v>2100200177</v>
      </c>
      <c r="E267" s="775">
        <f>SUM(E268:E282)</f>
        <v>0</v>
      </c>
      <c r="F267" s="776">
        <f>+[28]เรียงตามเขต!H27</f>
        <v>0</v>
      </c>
      <c r="G267" s="776">
        <f>+[28]เรียงตามเขต!I27</f>
        <v>0</v>
      </c>
      <c r="H267" s="776">
        <f>E267-F267-G267</f>
        <v>0</v>
      </c>
      <c r="I267" s="776">
        <v>0</v>
      </c>
    </row>
    <row r="268" spans="1:9" s="783" customFormat="1" ht="47.25" hidden="1" customHeight="1" outlineLevel="2">
      <c r="A268" s="779"/>
      <c r="B268" s="1132"/>
      <c r="C268" s="1133"/>
      <c r="D268" s="780"/>
      <c r="E268" s="781"/>
      <c r="F268" s="782"/>
      <c r="G268" s="782"/>
      <c r="H268" s="782"/>
      <c r="I268" s="782"/>
    </row>
    <row r="269" spans="1:9" s="783" customFormat="1" ht="15" hidden="1" outlineLevel="2">
      <c r="A269" s="779"/>
      <c r="B269" s="1132"/>
      <c r="C269" s="1133"/>
      <c r="D269" s="780"/>
      <c r="E269" s="781"/>
      <c r="F269" s="782"/>
      <c r="G269" s="782"/>
      <c r="H269" s="782"/>
      <c r="I269" s="782"/>
    </row>
    <row r="270" spans="1:9" s="783" customFormat="1" ht="18" hidden="1" customHeight="1" outlineLevel="2">
      <c r="A270" s="779"/>
      <c r="B270" s="1132"/>
      <c r="C270" s="1133"/>
      <c r="D270" s="780"/>
      <c r="E270" s="781"/>
      <c r="F270" s="782"/>
      <c r="G270" s="782"/>
      <c r="H270" s="782"/>
      <c r="I270" s="782"/>
    </row>
    <row r="271" spans="1:9" s="783" customFormat="1" ht="18" hidden="1" customHeight="1" outlineLevel="2">
      <c r="A271" s="779"/>
      <c r="B271" s="1132"/>
      <c r="C271" s="1133"/>
      <c r="D271" s="780"/>
      <c r="E271" s="781"/>
      <c r="F271" s="782"/>
      <c r="G271" s="782"/>
      <c r="H271" s="782"/>
      <c r="I271" s="782"/>
    </row>
    <row r="272" spans="1:9" s="787" customFormat="1" ht="18.75" hidden="1" customHeight="1" outlineLevel="2">
      <c r="A272" s="779"/>
      <c r="B272" s="1132"/>
      <c r="C272" s="1133"/>
      <c r="D272" s="784"/>
      <c r="E272" s="785"/>
      <c r="F272" s="786"/>
      <c r="G272" s="786"/>
      <c r="H272" s="786"/>
      <c r="I272" s="786"/>
    </row>
    <row r="273" spans="1:9" s="787" customFormat="1" ht="48.75" hidden="1" customHeight="1" outlineLevel="2">
      <c r="A273" s="779"/>
      <c r="B273" s="1132"/>
      <c r="C273" s="1133"/>
      <c r="D273" s="784"/>
      <c r="E273" s="785"/>
      <c r="F273" s="786"/>
      <c r="G273" s="786"/>
      <c r="H273" s="786"/>
      <c r="I273" s="786"/>
    </row>
    <row r="274" spans="1:9" s="787" customFormat="1" ht="33" hidden="1" customHeight="1" outlineLevel="2">
      <c r="A274" s="779"/>
      <c r="B274" s="1132"/>
      <c r="C274" s="1133"/>
      <c r="D274" s="784"/>
      <c r="E274" s="785"/>
      <c r="F274" s="786"/>
      <c r="G274" s="786"/>
      <c r="H274" s="786"/>
      <c r="I274" s="786"/>
    </row>
    <row r="275" spans="1:9" s="787" customFormat="1" ht="33" hidden="1" customHeight="1" outlineLevel="2">
      <c r="A275" s="779"/>
      <c r="B275" s="1132"/>
      <c r="C275" s="1133"/>
      <c r="D275" s="784"/>
      <c r="E275" s="785"/>
      <c r="F275" s="786"/>
      <c r="G275" s="786"/>
      <c r="H275" s="786"/>
      <c r="I275" s="786"/>
    </row>
    <row r="276" spans="1:9" s="787" customFormat="1" ht="33" hidden="1" customHeight="1" outlineLevel="2">
      <c r="A276" s="779"/>
      <c r="B276" s="1132"/>
      <c r="C276" s="1133"/>
      <c r="D276" s="784"/>
      <c r="E276" s="785"/>
      <c r="F276" s="786"/>
      <c r="G276" s="786"/>
      <c r="H276" s="786"/>
      <c r="I276" s="786"/>
    </row>
    <row r="277" spans="1:9" s="790" customFormat="1" ht="36" hidden="1" customHeight="1" outlineLevel="2">
      <c r="A277" s="779"/>
      <c r="B277" s="1132"/>
      <c r="C277" s="1133"/>
      <c r="D277" s="788"/>
      <c r="E277" s="789"/>
      <c r="F277" s="786"/>
      <c r="G277" s="786"/>
      <c r="H277" s="786"/>
      <c r="I277" s="786"/>
    </row>
    <row r="278" spans="1:9" s="790" customFormat="1" ht="15" hidden="1" outlineLevel="2">
      <c r="A278" s="779"/>
      <c r="B278" s="1132"/>
      <c r="C278" s="1133"/>
      <c r="D278" s="788"/>
      <c r="E278" s="789"/>
      <c r="F278" s="786"/>
      <c r="G278" s="786"/>
      <c r="H278" s="786"/>
      <c r="I278" s="786"/>
    </row>
    <row r="279" spans="1:9" s="790" customFormat="1" ht="30" hidden="1" customHeight="1" outlineLevel="2">
      <c r="A279" s="779"/>
      <c r="B279" s="1132"/>
      <c r="C279" s="1133"/>
      <c r="D279" s="788"/>
      <c r="E279" s="789"/>
      <c r="F279" s="786"/>
      <c r="G279" s="786"/>
      <c r="H279" s="786"/>
      <c r="I279" s="786"/>
    </row>
    <row r="280" spans="1:9" s="790" customFormat="1" ht="28.5" hidden="1" customHeight="1" outlineLevel="2">
      <c r="A280" s="779"/>
      <c r="B280" s="1132"/>
      <c r="C280" s="1133"/>
      <c r="D280" s="788"/>
      <c r="E280" s="789"/>
      <c r="F280" s="786"/>
      <c r="G280" s="786"/>
      <c r="H280" s="786"/>
      <c r="I280" s="786"/>
    </row>
    <row r="281" spans="1:9" s="790" customFormat="1" ht="28.5" hidden="1" customHeight="1" outlineLevel="2">
      <c r="A281" s="779"/>
      <c r="B281" s="1132"/>
      <c r="C281" s="1133"/>
      <c r="D281" s="788"/>
      <c r="E281" s="789"/>
      <c r="F281" s="786"/>
      <c r="G281" s="786"/>
      <c r="H281" s="786"/>
      <c r="I281" s="786"/>
    </row>
    <row r="282" spans="1:9" s="790" customFormat="1" ht="15" hidden="1" outlineLevel="2">
      <c r="A282" s="791"/>
      <c r="B282" s="1137"/>
      <c r="C282" s="1138"/>
      <c r="D282" s="799"/>
      <c r="E282" s="800"/>
      <c r="F282" s="793"/>
      <c r="G282" s="793"/>
      <c r="H282" s="793"/>
      <c r="I282" s="793"/>
    </row>
    <row r="283" spans="1:9" s="770" customFormat="1" ht="15" hidden="1" outlineLevel="2">
      <c r="A283" s="771"/>
      <c r="B283" s="772" t="s">
        <v>724</v>
      </c>
      <c r="C283" s="773" t="s">
        <v>508</v>
      </c>
      <c r="D283" s="808">
        <v>2100200187</v>
      </c>
      <c r="E283" s="775">
        <f>SUM(E284:E298)</f>
        <v>0</v>
      </c>
      <c r="F283" s="776">
        <f>+[28]เรียงตามเขต!H28</f>
        <v>0</v>
      </c>
      <c r="G283" s="776">
        <f>+[28]เรียงตามเขต!I28</f>
        <v>0</v>
      </c>
      <c r="H283" s="776">
        <f>E283-F283-G283</f>
        <v>0</v>
      </c>
      <c r="I283" s="776">
        <v>0</v>
      </c>
    </row>
    <row r="284" spans="1:9" s="783" customFormat="1" ht="47.25" hidden="1" customHeight="1" outlineLevel="2">
      <c r="A284" s="779"/>
      <c r="B284" s="1132"/>
      <c r="C284" s="1133"/>
      <c r="D284" s="780"/>
      <c r="E284" s="781"/>
      <c r="F284" s="782"/>
      <c r="G284" s="782"/>
      <c r="H284" s="782"/>
      <c r="I284" s="782"/>
    </row>
    <row r="285" spans="1:9" s="783" customFormat="1" ht="15" hidden="1" outlineLevel="2">
      <c r="A285" s="779"/>
      <c r="B285" s="1132"/>
      <c r="C285" s="1133"/>
      <c r="D285" s="780"/>
      <c r="E285" s="781"/>
      <c r="F285" s="782"/>
      <c r="G285" s="782"/>
      <c r="H285" s="782"/>
      <c r="I285" s="782"/>
    </row>
    <row r="286" spans="1:9" s="783" customFormat="1" ht="18" hidden="1" customHeight="1" outlineLevel="2">
      <c r="A286" s="779"/>
      <c r="B286" s="1132"/>
      <c r="C286" s="1133"/>
      <c r="D286" s="780"/>
      <c r="E286" s="781"/>
      <c r="F286" s="782"/>
      <c r="G286" s="782"/>
      <c r="H286" s="782"/>
      <c r="I286" s="782"/>
    </row>
    <row r="287" spans="1:9" s="783" customFormat="1" ht="18" hidden="1" customHeight="1" outlineLevel="2">
      <c r="A287" s="779"/>
      <c r="B287" s="1132"/>
      <c r="C287" s="1133"/>
      <c r="D287" s="780"/>
      <c r="E287" s="781"/>
      <c r="F287" s="782"/>
      <c r="G287" s="782"/>
      <c r="H287" s="782"/>
      <c r="I287" s="782"/>
    </row>
    <row r="288" spans="1:9" s="787" customFormat="1" ht="18.75" hidden="1" customHeight="1" outlineLevel="2">
      <c r="A288" s="779"/>
      <c r="B288" s="1132"/>
      <c r="C288" s="1133"/>
      <c r="D288" s="784"/>
      <c r="E288" s="785"/>
      <c r="F288" s="786"/>
      <c r="G288" s="786"/>
      <c r="H288" s="786"/>
      <c r="I288" s="786"/>
    </row>
    <row r="289" spans="1:9" s="787" customFormat="1" ht="48.75" hidden="1" customHeight="1" outlineLevel="2">
      <c r="A289" s="779"/>
      <c r="B289" s="1132"/>
      <c r="C289" s="1133"/>
      <c r="D289" s="784"/>
      <c r="E289" s="785"/>
      <c r="F289" s="786"/>
      <c r="G289" s="786"/>
      <c r="H289" s="786"/>
      <c r="I289" s="786"/>
    </row>
    <row r="290" spans="1:9" s="787" customFormat="1" ht="33" hidden="1" customHeight="1" outlineLevel="2">
      <c r="A290" s="779"/>
      <c r="B290" s="1132"/>
      <c r="C290" s="1133"/>
      <c r="D290" s="784"/>
      <c r="E290" s="785"/>
      <c r="F290" s="786"/>
      <c r="G290" s="786"/>
      <c r="H290" s="786"/>
      <c r="I290" s="786"/>
    </row>
    <row r="291" spans="1:9" s="787" customFormat="1" ht="33" hidden="1" customHeight="1" outlineLevel="2">
      <c r="A291" s="779"/>
      <c r="B291" s="1132"/>
      <c r="C291" s="1133"/>
      <c r="D291" s="784"/>
      <c r="E291" s="785"/>
      <c r="F291" s="786"/>
      <c r="G291" s="786"/>
      <c r="H291" s="786"/>
      <c r="I291" s="786"/>
    </row>
    <row r="292" spans="1:9" s="790" customFormat="1" ht="15" hidden="1" outlineLevel="2">
      <c r="A292" s="779"/>
      <c r="B292" s="1132"/>
      <c r="C292" s="1133"/>
      <c r="D292" s="788"/>
      <c r="E292" s="789"/>
      <c r="F292" s="786"/>
      <c r="G292" s="786"/>
      <c r="H292" s="786"/>
      <c r="I292" s="786"/>
    </row>
    <row r="293" spans="1:9" s="790" customFormat="1" ht="36" hidden="1" customHeight="1" outlineLevel="2">
      <c r="A293" s="779"/>
      <c r="B293" s="1132"/>
      <c r="C293" s="1133"/>
      <c r="D293" s="788"/>
      <c r="E293" s="789"/>
      <c r="F293" s="786"/>
      <c r="G293" s="786"/>
      <c r="H293" s="786"/>
      <c r="I293" s="786"/>
    </row>
    <row r="294" spans="1:9" s="790" customFormat="1" ht="15" hidden="1" outlineLevel="2">
      <c r="A294" s="779"/>
      <c r="B294" s="1132" t="s">
        <v>820</v>
      </c>
      <c r="C294" s="1133"/>
      <c r="D294" s="788"/>
      <c r="E294" s="789">
        <v>0</v>
      </c>
      <c r="F294" s="786"/>
      <c r="G294" s="786"/>
      <c r="H294" s="786"/>
      <c r="I294" s="786"/>
    </row>
    <row r="295" spans="1:9" s="790" customFormat="1" ht="30" hidden="1" customHeight="1" outlineLevel="2">
      <c r="A295" s="779"/>
      <c r="B295" s="1132" t="s">
        <v>821</v>
      </c>
      <c r="C295" s="1133"/>
      <c r="D295" s="788"/>
      <c r="E295" s="789">
        <v>0</v>
      </c>
      <c r="F295" s="786"/>
      <c r="G295" s="786"/>
      <c r="H295" s="786"/>
      <c r="I295" s="786"/>
    </row>
    <row r="296" spans="1:9" s="790" customFormat="1" ht="28.5" hidden="1" customHeight="1" outlineLevel="2">
      <c r="A296" s="779"/>
      <c r="B296" s="1132" t="s">
        <v>822</v>
      </c>
      <c r="C296" s="1133"/>
      <c r="D296" s="788"/>
      <c r="E296" s="789">
        <v>0</v>
      </c>
      <c r="F296" s="786"/>
      <c r="G296" s="786"/>
      <c r="H296" s="786"/>
      <c r="I296" s="786"/>
    </row>
    <row r="297" spans="1:9" s="790" customFormat="1" ht="28.5" hidden="1" customHeight="1" outlineLevel="2">
      <c r="A297" s="779"/>
      <c r="B297" s="1132" t="s">
        <v>823</v>
      </c>
      <c r="C297" s="1133"/>
      <c r="D297" s="788"/>
      <c r="E297" s="789">
        <v>0</v>
      </c>
      <c r="F297" s="786"/>
      <c r="G297" s="786"/>
      <c r="H297" s="786"/>
      <c r="I297" s="786"/>
    </row>
    <row r="298" spans="1:9" s="790" customFormat="1" ht="15" hidden="1" customHeight="1" outlineLevel="2">
      <c r="A298" s="791"/>
      <c r="B298" s="1137"/>
      <c r="C298" s="1138"/>
      <c r="D298" s="788"/>
      <c r="E298" s="792"/>
      <c r="F298" s="793"/>
      <c r="G298" s="793"/>
      <c r="H298" s="793"/>
      <c r="I298" s="793"/>
    </row>
    <row r="299" spans="1:9" s="762" customFormat="1" hidden="1" outlineLevel="1">
      <c r="A299" s="763"/>
      <c r="B299" s="764" t="s">
        <v>675</v>
      </c>
      <c r="C299" s="765"/>
      <c r="D299" s="766"/>
      <c r="E299" s="767">
        <f>+E300+E316+E332+E348+E364+E380+E396+E413</f>
        <v>0</v>
      </c>
      <c r="F299" s="767">
        <f>+F300+F316+F332+F348+F364+F380+F396+F413</f>
        <v>0</v>
      </c>
      <c r="G299" s="767">
        <f>+G300+G316+G332+G348+G364+G380+G396+G413</f>
        <v>0</v>
      </c>
      <c r="H299" s="767">
        <f>+H300+H316+H332+H348+H364+H380+H396+H413</f>
        <v>0</v>
      </c>
      <c r="I299" s="768">
        <f>SUM(I300:I413)</f>
        <v>0</v>
      </c>
    </row>
    <row r="300" spans="1:9" s="770" customFormat="1" ht="15" hidden="1" outlineLevel="1">
      <c r="A300" s="810"/>
      <c r="B300" s="811" t="s">
        <v>726</v>
      </c>
      <c r="C300" s="812" t="s">
        <v>511</v>
      </c>
      <c r="D300" s="813">
        <v>2100200078</v>
      </c>
      <c r="E300" s="814">
        <f>SUM(E301:E315)</f>
        <v>0</v>
      </c>
      <c r="F300" s="815">
        <f>+[28]เรียงตามเขต!H30</f>
        <v>0</v>
      </c>
      <c r="G300" s="815">
        <f>+[28]เรียงตามเขต!I30</f>
        <v>0</v>
      </c>
      <c r="H300" s="815">
        <f>E300-F300-G300</f>
        <v>0</v>
      </c>
      <c r="I300" s="815">
        <v>0</v>
      </c>
    </row>
    <row r="301" spans="1:9" s="783" customFormat="1" ht="47.25" hidden="1" customHeight="1" outlineLevel="2">
      <c r="A301" s="779"/>
      <c r="B301" s="1132"/>
      <c r="C301" s="1133"/>
      <c r="D301" s="780"/>
      <c r="E301" s="781"/>
      <c r="F301" s="782"/>
      <c r="G301" s="782"/>
      <c r="H301" s="782"/>
      <c r="I301" s="782"/>
    </row>
    <row r="302" spans="1:9" s="783" customFormat="1" ht="15" hidden="1" outlineLevel="2">
      <c r="A302" s="779"/>
      <c r="B302" s="1132"/>
      <c r="C302" s="1133"/>
      <c r="D302" s="780"/>
      <c r="E302" s="781"/>
      <c r="F302" s="782"/>
      <c r="G302" s="782"/>
      <c r="H302" s="782"/>
      <c r="I302" s="782"/>
    </row>
    <row r="303" spans="1:9" s="783" customFormat="1" ht="18" hidden="1" customHeight="1" outlineLevel="2">
      <c r="A303" s="779"/>
      <c r="B303" s="1132"/>
      <c r="C303" s="1133"/>
      <c r="D303" s="780"/>
      <c r="E303" s="781"/>
      <c r="F303" s="782"/>
      <c r="G303" s="782"/>
      <c r="H303" s="782"/>
      <c r="I303" s="782"/>
    </row>
    <row r="304" spans="1:9" s="783" customFormat="1" ht="18" hidden="1" customHeight="1" outlineLevel="2">
      <c r="A304" s="779"/>
      <c r="B304" s="1132"/>
      <c r="C304" s="1133"/>
      <c r="D304" s="780"/>
      <c r="E304" s="781"/>
      <c r="F304" s="782"/>
      <c r="G304" s="782"/>
      <c r="H304" s="782"/>
      <c r="I304" s="782"/>
    </row>
    <row r="305" spans="1:9" s="787" customFormat="1" ht="18.75" hidden="1" customHeight="1" outlineLevel="2">
      <c r="A305" s="779"/>
      <c r="B305" s="1132"/>
      <c r="C305" s="1133"/>
      <c r="D305" s="784"/>
      <c r="E305" s="785"/>
      <c r="F305" s="786"/>
      <c r="G305" s="786"/>
      <c r="H305" s="786"/>
      <c r="I305" s="786"/>
    </row>
    <row r="306" spans="1:9" s="787" customFormat="1" ht="48.75" hidden="1" customHeight="1" outlineLevel="2">
      <c r="A306" s="779"/>
      <c r="B306" s="1132"/>
      <c r="C306" s="1133"/>
      <c r="D306" s="784"/>
      <c r="E306" s="785"/>
      <c r="F306" s="786"/>
      <c r="G306" s="786"/>
      <c r="H306" s="786"/>
      <c r="I306" s="786"/>
    </row>
    <row r="307" spans="1:9" s="787" customFormat="1" ht="33" hidden="1" customHeight="1" outlineLevel="2">
      <c r="A307" s="779"/>
      <c r="B307" s="1132"/>
      <c r="C307" s="1133"/>
      <c r="D307" s="784"/>
      <c r="E307" s="785"/>
      <c r="F307" s="786"/>
      <c r="G307" s="786"/>
      <c r="H307" s="786"/>
      <c r="I307" s="786"/>
    </row>
    <row r="308" spans="1:9" s="787" customFormat="1" ht="33" hidden="1" customHeight="1" outlineLevel="2">
      <c r="A308" s="779"/>
      <c r="B308" s="1132"/>
      <c r="C308" s="1133"/>
      <c r="D308" s="784"/>
      <c r="E308" s="785"/>
      <c r="F308" s="786"/>
      <c r="G308" s="786"/>
      <c r="H308" s="786"/>
      <c r="I308" s="786"/>
    </row>
    <row r="309" spans="1:9" s="787" customFormat="1" ht="33" hidden="1" customHeight="1" outlineLevel="2">
      <c r="A309" s="779"/>
      <c r="B309" s="1132"/>
      <c r="C309" s="1133"/>
      <c r="D309" s="784"/>
      <c r="E309" s="785"/>
      <c r="F309" s="786"/>
      <c r="G309" s="786"/>
      <c r="H309" s="786"/>
      <c r="I309" s="786"/>
    </row>
    <row r="310" spans="1:9" s="790" customFormat="1" ht="36" hidden="1" customHeight="1" outlineLevel="2">
      <c r="A310" s="779"/>
      <c r="B310" s="1132"/>
      <c r="C310" s="1133"/>
      <c r="D310" s="788"/>
      <c r="E310" s="789"/>
      <c r="F310" s="786"/>
      <c r="G310" s="786"/>
      <c r="H310" s="786"/>
      <c r="I310" s="786"/>
    </row>
    <row r="311" spans="1:9" s="790" customFormat="1" ht="15" hidden="1" outlineLevel="2">
      <c r="A311" s="779"/>
      <c r="B311" s="1132"/>
      <c r="C311" s="1133"/>
      <c r="D311" s="788"/>
      <c r="E311" s="789"/>
      <c r="F311" s="786"/>
      <c r="G311" s="786"/>
      <c r="H311" s="786"/>
      <c r="I311" s="786"/>
    </row>
    <row r="312" spans="1:9" s="790" customFormat="1" ht="30" hidden="1" customHeight="1" outlineLevel="2">
      <c r="A312" s="779"/>
      <c r="B312" s="1132"/>
      <c r="C312" s="1133"/>
      <c r="D312" s="788"/>
      <c r="E312" s="789"/>
      <c r="F312" s="786"/>
      <c r="G312" s="786"/>
      <c r="H312" s="786"/>
      <c r="I312" s="786"/>
    </row>
    <row r="313" spans="1:9" s="790" customFormat="1" ht="28.5" hidden="1" customHeight="1" outlineLevel="2">
      <c r="A313" s="779"/>
      <c r="B313" s="1132"/>
      <c r="C313" s="1133"/>
      <c r="D313" s="788"/>
      <c r="E313" s="789"/>
      <c r="F313" s="786"/>
      <c r="G313" s="786"/>
      <c r="H313" s="786"/>
      <c r="I313" s="786"/>
    </row>
    <row r="314" spans="1:9" s="790" customFormat="1" ht="28.5" hidden="1" customHeight="1" outlineLevel="2">
      <c r="A314" s="779"/>
      <c r="B314" s="1132"/>
      <c r="C314" s="1133"/>
      <c r="D314" s="788"/>
      <c r="E314" s="789"/>
      <c r="F314" s="786"/>
      <c r="G314" s="786"/>
      <c r="H314" s="786"/>
      <c r="I314" s="786"/>
    </row>
    <row r="315" spans="1:9" s="804" customFormat="1" ht="15" hidden="1" outlineLevel="2">
      <c r="A315" s="801"/>
      <c r="B315" s="1139"/>
      <c r="C315" s="1140"/>
      <c r="D315" s="792"/>
      <c r="E315" s="792"/>
      <c r="F315" s="803"/>
      <c r="G315" s="803"/>
      <c r="H315" s="803"/>
      <c r="I315" s="803"/>
    </row>
    <row r="316" spans="1:9" s="770" customFormat="1" ht="15" hidden="1" outlineLevel="1">
      <c r="A316" s="771"/>
      <c r="B316" s="807" t="s">
        <v>727</v>
      </c>
      <c r="C316" s="773" t="s">
        <v>513</v>
      </c>
      <c r="D316" s="774">
        <v>2100200081</v>
      </c>
      <c r="E316" s="775">
        <f>SUM(E317:E331)</f>
        <v>0</v>
      </c>
      <c r="F316" s="776">
        <f>+[28]เรียงตามเขต!H31</f>
        <v>0</v>
      </c>
      <c r="G316" s="776">
        <f>+[28]เรียงตามเขต!I31</f>
        <v>0</v>
      </c>
      <c r="H316" s="776">
        <f>E316-F316-G316</f>
        <v>0</v>
      </c>
      <c r="I316" s="776">
        <v>0</v>
      </c>
    </row>
    <row r="317" spans="1:9" s="783" customFormat="1" ht="47.25" hidden="1" customHeight="1" outlineLevel="2">
      <c r="A317" s="779"/>
      <c r="B317" s="1132"/>
      <c r="C317" s="1133"/>
      <c r="D317" s="780"/>
      <c r="E317" s="781"/>
      <c r="F317" s="782"/>
      <c r="G317" s="782"/>
      <c r="H317" s="782"/>
      <c r="I317" s="782"/>
    </row>
    <row r="318" spans="1:9" s="783" customFormat="1" ht="15" hidden="1" outlineLevel="2">
      <c r="A318" s="779"/>
      <c r="B318" s="1132"/>
      <c r="C318" s="1133"/>
      <c r="D318" s="780"/>
      <c r="E318" s="781"/>
      <c r="F318" s="782"/>
      <c r="G318" s="782"/>
      <c r="H318" s="782"/>
      <c r="I318" s="782"/>
    </row>
    <row r="319" spans="1:9" s="783" customFormat="1" ht="18" hidden="1" customHeight="1" outlineLevel="2">
      <c r="A319" s="779"/>
      <c r="B319" s="1132"/>
      <c r="C319" s="1133"/>
      <c r="D319" s="780"/>
      <c r="E319" s="781"/>
      <c r="F319" s="782"/>
      <c r="G319" s="782"/>
      <c r="H319" s="782"/>
      <c r="I319" s="782"/>
    </row>
    <row r="320" spans="1:9" s="783" customFormat="1" ht="18" hidden="1" customHeight="1" outlineLevel="2">
      <c r="A320" s="779"/>
      <c r="B320" s="1132"/>
      <c r="C320" s="1133"/>
      <c r="D320" s="780"/>
      <c r="E320" s="781"/>
      <c r="F320" s="782"/>
      <c r="G320" s="782"/>
      <c r="H320" s="782"/>
      <c r="I320" s="782"/>
    </row>
    <row r="321" spans="1:9" s="787" customFormat="1" ht="18.75" hidden="1" customHeight="1" outlineLevel="2">
      <c r="A321" s="779"/>
      <c r="B321" s="1132"/>
      <c r="C321" s="1133"/>
      <c r="D321" s="784"/>
      <c r="E321" s="785"/>
      <c r="F321" s="786"/>
      <c r="G321" s="786"/>
      <c r="H321" s="786"/>
      <c r="I321" s="786"/>
    </row>
    <row r="322" spans="1:9" s="787" customFormat="1" ht="48.75" hidden="1" customHeight="1" outlineLevel="2">
      <c r="A322" s="779"/>
      <c r="B322" s="1132"/>
      <c r="C322" s="1133"/>
      <c r="D322" s="784"/>
      <c r="E322" s="785"/>
      <c r="F322" s="786"/>
      <c r="G322" s="786"/>
      <c r="H322" s="786"/>
      <c r="I322" s="786"/>
    </row>
    <row r="323" spans="1:9" s="787" customFormat="1" ht="33" hidden="1" customHeight="1" outlineLevel="2">
      <c r="A323" s="779"/>
      <c r="B323" s="1132"/>
      <c r="C323" s="1133"/>
      <c r="D323" s="784"/>
      <c r="E323" s="785"/>
      <c r="F323" s="786"/>
      <c r="G323" s="786"/>
      <c r="H323" s="786"/>
      <c r="I323" s="786"/>
    </row>
    <row r="324" spans="1:9" s="787" customFormat="1" ht="33" hidden="1" customHeight="1" outlineLevel="2">
      <c r="A324" s="779"/>
      <c r="B324" s="1132"/>
      <c r="C324" s="1133"/>
      <c r="D324" s="784"/>
      <c r="E324" s="785"/>
      <c r="F324" s="786"/>
      <c r="G324" s="786"/>
      <c r="H324" s="786"/>
      <c r="I324" s="786"/>
    </row>
    <row r="325" spans="1:9" s="787" customFormat="1" ht="33" hidden="1" customHeight="1" outlineLevel="2">
      <c r="A325" s="791"/>
      <c r="B325" s="1137"/>
      <c r="C325" s="1138"/>
      <c r="D325" s="799"/>
      <c r="E325" s="800"/>
      <c r="F325" s="793"/>
      <c r="G325" s="793"/>
      <c r="H325" s="793"/>
      <c r="I325" s="793"/>
    </row>
    <row r="326" spans="1:9" s="790" customFormat="1" ht="36" hidden="1" customHeight="1" outlineLevel="2">
      <c r="A326" s="779"/>
      <c r="B326" s="1132"/>
      <c r="C326" s="1133"/>
      <c r="D326" s="788"/>
      <c r="E326" s="789"/>
      <c r="F326" s="786"/>
      <c r="G326" s="786"/>
      <c r="H326" s="786"/>
      <c r="I326" s="786"/>
    </row>
    <row r="327" spans="1:9" s="790" customFormat="1" ht="15" hidden="1" outlineLevel="2">
      <c r="A327" s="779"/>
      <c r="B327" s="1132"/>
      <c r="C327" s="1133"/>
      <c r="D327" s="788"/>
      <c r="E327" s="789"/>
      <c r="F327" s="786"/>
      <c r="G327" s="786"/>
      <c r="H327" s="786"/>
      <c r="I327" s="786"/>
    </row>
    <row r="328" spans="1:9" s="790" customFormat="1" ht="30" hidden="1" customHeight="1" outlineLevel="2">
      <c r="A328" s="779"/>
      <c r="B328" s="1132"/>
      <c r="C328" s="1133"/>
      <c r="D328" s="788"/>
      <c r="E328" s="789"/>
      <c r="F328" s="786"/>
      <c r="G328" s="786"/>
      <c r="H328" s="786"/>
      <c r="I328" s="786"/>
    </row>
    <row r="329" spans="1:9" s="790" customFormat="1" ht="28.5" hidden="1" customHeight="1" outlineLevel="2">
      <c r="A329" s="779"/>
      <c r="B329" s="1132"/>
      <c r="C329" s="1133"/>
      <c r="D329" s="788"/>
      <c r="E329" s="789"/>
      <c r="F329" s="786"/>
      <c r="G329" s="786"/>
      <c r="H329" s="786"/>
      <c r="I329" s="786"/>
    </row>
    <row r="330" spans="1:9" s="790" customFormat="1" ht="28.5" hidden="1" customHeight="1" outlineLevel="2">
      <c r="A330" s="779"/>
      <c r="B330" s="1132"/>
      <c r="C330" s="1133"/>
      <c r="D330" s="788"/>
      <c r="E330" s="789"/>
      <c r="F330" s="786"/>
      <c r="G330" s="786"/>
      <c r="H330" s="786"/>
      <c r="I330" s="786"/>
    </row>
    <row r="331" spans="1:9" s="790" customFormat="1" ht="15" hidden="1" outlineLevel="2">
      <c r="A331" s="791"/>
      <c r="B331" s="1139"/>
      <c r="C331" s="1140"/>
      <c r="D331" s="799"/>
      <c r="E331" s="803"/>
      <c r="F331" s="793"/>
      <c r="G331" s="793"/>
      <c r="H331" s="793"/>
      <c r="I331" s="793"/>
    </row>
    <row r="332" spans="1:9" s="770" customFormat="1" ht="15" hidden="1" outlineLevel="1">
      <c r="A332" s="771"/>
      <c r="B332" s="807" t="s">
        <v>728</v>
      </c>
      <c r="C332" s="773" t="s">
        <v>515</v>
      </c>
      <c r="D332" s="774">
        <v>2100200083</v>
      </c>
      <c r="E332" s="775">
        <f>SUM(E333:E347)</f>
        <v>0</v>
      </c>
      <c r="F332" s="776">
        <f>+[28]เรียงตามเขต!H32</f>
        <v>0</v>
      </c>
      <c r="G332" s="776">
        <f>+[28]เรียงตามเขต!I32</f>
        <v>0</v>
      </c>
      <c r="H332" s="776">
        <f>E332-F332-G332</f>
        <v>0</v>
      </c>
      <c r="I332" s="776">
        <v>0</v>
      </c>
    </row>
    <row r="333" spans="1:9" s="783" customFormat="1" ht="47.25" hidden="1" customHeight="1" outlineLevel="2">
      <c r="A333" s="779"/>
      <c r="B333" s="1132"/>
      <c r="C333" s="1133"/>
      <c r="D333" s="780"/>
      <c r="E333" s="781"/>
      <c r="F333" s="782"/>
      <c r="G333" s="782"/>
      <c r="H333" s="782"/>
      <c r="I333" s="782"/>
    </row>
    <row r="334" spans="1:9" s="783" customFormat="1" ht="15" hidden="1" outlineLevel="2">
      <c r="A334" s="779"/>
      <c r="B334" s="1132"/>
      <c r="C334" s="1133"/>
      <c r="D334" s="780"/>
      <c r="E334" s="781"/>
      <c r="F334" s="782"/>
      <c r="G334" s="782"/>
      <c r="H334" s="782"/>
      <c r="I334" s="782"/>
    </row>
    <row r="335" spans="1:9" s="783" customFormat="1" ht="18" hidden="1" customHeight="1" outlineLevel="2">
      <c r="A335" s="779"/>
      <c r="B335" s="1132"/>
      <c r="C335" s="1133"/>
      <c r="D335" s="780"/>
      <c r="E335" s="781"/>
      <c r="F335" s="782"/>
      <c r="G335" s="782"/>
      <c r="H335" s="782"/>
      <c r="I335" s="782"/>
    </row>
    <row r="336" spans="1:9" s="783" customFormat="1" ht="18" hidden="1" customHeight="1" outlineLevel="2">
      <c r="A336" s="779"/>
      <c r="B336" s="1132"/>
      <c r="C336" s="1133"/>
      <c r="D336" s="780"/>
      <c r="E336" s="781"/>
      <c r="F336" s="782"/>
      <c r="G336" s="782"/>
      <c r="H336" s="782"/>
      <c r="I336" s="782"/>
    </row>
    <row r="337" spans="1:9" s="787" customFormat="1" ht="18.75" hidden="1" customHeight="1" outlineLevel="2">
      <c r="A337" s="779"/>
      <c r="B337" s="1132"/>
      <c r="C337" s="1133"/>
      <c r="D337" s="784"/>
      <c r="E337" s="785"/>
      <c r="F337" s="786"/>
      <c r="G337" s="786"/>
      <c r="H337" s="786"/>
      <c r="I337" s="786"/>
    </row>
    <row r="338" spans="1:9" s="787" customFormat="1" ht="48.75" hidden="1" customHeight="1" outlineLevel="2">
      <c r="A338" s="779"/>
      <c r="B338" s="1132"/>
      <c r="C338" s="1133"/>
      <c r="D338" s="784"/>
      <c r="E338" s="785"/>
      <c r="F338" s="786"/>
      <c r="G338" s="786"/>
      <c r="H338" s="786"/>
      <c r="I338" s="786"/>
    </row>
    <row r="339" spans="1:9" s="787" customFormat="1" ht="33" hidden="1" customHeight="1" outlineLevel="2">
      <c r="A339" s="779"/>
      <c r="B339" s="1132"/>
      <c r="C339" s="1133"/>
      <c r="D339" s="784"/>
      <c r="E339" s="785"/>
      <c r="F339" s="786"/>
      <c r="G339" s="786"/>
      <c r="H339" s="786"/>
      <c r="I339" s="786"/>
    </row>
    <row r="340" spans="1:9" s="787" customFormat="1" ht="33" hidden="1" customHeight="1" outlineLevel="2">
      <c r="A340" s="779"/>
      <c r="B340" s="1132"/>
      <c r="C340" s="1133"/>
      <c r="D340" s="784"/>
      <c r="E340" s="785"/>
      <c r="F340" s="786"/>
      <c r="G340" s="786"/>
      <c r="H340" s="786"/>
      <c r="I340" s="786"/>
    </row>
    <row r="341" spans="1:9" s="787" customFormat="1" ht="33" hidden="1" customHeight="1" outlineLevel="2">
      <c r="A341" s="779"/>
      <c r="B341" s="1132"/>
      <c r="C341" s="1133"/>
      <c r="D341" s="784"/>
      <c r="E341" s="785"/>
      <c r="F341" s="786"/>
      <c r="G341" s="786"/>
      <c r="H341" s="786"/>
      <c r="I341" s="786"/>
    </row>
    <row r="342" spans="1:9" s="790" customFormat="1" ht="36" hidden="1" customHeight="1" outlineLevel="2">
      <c r="A342" s="779"/>
      <c r="B342" s="1132"/>
      <c r="C342" s="1133"/>
      <c r="D342" s="788"/>
      <c r="E342" s="789"/>
      <c r="F342" s="786"/>
      <c r="G342" s="786"/>
      <c r="H342" s="786"/>
      <c r="I342" s="786"/>
    </row>
    <row r="343" spans="1:9" s="790" customFormat="1" ht="15" hidden="1" outlineLevel="2">
      <c r="A343" s="779"/>
      <c r="B343" s="1132"/>
      <c r="C343" s="1133"/>
      <c r="D343" s="788"/>
      <c r="E343" s="789"/>
      <c r="F343" s="786"/>
      <c r="G343" s="786"/>
      <c r="H343" s="786"/>
      <c r="I343" s="786"/>
    </row>
    <row r="344" spans="1:9" s="790" customFormat="1" ht="30" hidden="1" customHeight="1" outlineLevel="2">
      <c r="A344" s="779"/>
      <c r="B344" s="1132"/>
      <c r="C344" s="1133"/>
      <c r="D344" s="788"/>
      <c r="E344" s="789"/>
      <c r="F344" s="786"/>
      <c r="G344" s="786"/>
      <c r="H344" s="786"/>
      <c r="I344" s="786"/>
    </row>
    <row r="345" spans="1:9" s="790" customFormat="1" ht="28.5" hidden="1" customHeight="1" outlineLevel="2">
      <c r="A345" s="779"/>
      <c r="B345" s="1132"/>
      <c r="C345" s="1133"/>
      <c r="D345" s="788"/>
      <c r="E345" s="789"/>
      <c r="F345" s="786"/>
      <c r="G345" s="786"/>
      <c r="H345" s="786"/>
      <c r="I345" s="786"/>
    </row>
    <row r="346" spans="1:9" s="790" customFormat="1" ht="28.5" hidden="1" customHeight="1" outlineLevel="2">
      <c r="A346" s="779"/>
      <c r="B346" s="1132"/>
      <c r="C346" s="1133"/>
      <c r="D346" s="788"/>
      <c r="E346" s="789"/>
      <c r="F346" s="786"/>
      <c r="G346" s="786"/>
      <c r="H346" s="786"/>
      <c r="I346" s="786"/>
    </row>
    <row r="347" spans="1:9" s="790" customFormat="1" ht="15" hidden="1" outlineLevel="2">
      <c r="A347" s="791"/>
      <c r="B347" s="1139"/>
      <c r="C347" s="1140"/>
      <c r="D347" s="799"/>
      <c r="E347" s="792"/>
      <c r="F347" s="793"/>
      <c r="G347" s="793"/>
      <c r="H347" s="793"/>
      <c r="I347" s="793"/>
    </row>
    <row r="348" spans="1:9" s="770" customFormat="1" ht="15" hidden="1" outlineLevel="1">
      <c r="A348" s="771"/>
      <c r="B348" s="807" t="s">
        <v>729</v>
      </c>
      <c r="C348" s="773" t="s">
        <v>517</v>
      </c>
      <c r="D348" s="774">
        <v>2100200086</v>
      </c>
      <c r="E348" s="775">
        <f>SUM(E349:E363)</f>
        <v>0</v>
      </c>
      <c r="F348" s="776">
        <f>+[28]เรียงตามเขต!H33</f>
        <v>0</v>
      </c>
      <c r="G348" s="776">
        <f>+[28]เรียงตามเขต!I33</f>
        <v>0</v>
      </c>
      <c r="H348" s="776">
        <f>E348-F348-G348</f>
        <v>0</v>
      </c>
      <c r="I348" s="776">
        <v>0</v>
      </c>
    </row>
    <row r="349" spans="1:9" s="783" customFormat="1" ht="47.25" hidden="1" customHeight="1" outlineLevel="2">
      <c r="A349" s="779"/>
      <c r="B349" s="1132"/>
      <c r="C349" s="1133"/>
      <c r="D349" s="780"/>
      <c r="E349" s="781"/>
      <c r="F349" s="782"/>
      <c r="G349" s="782"/>
      <c r="H349" s="782"/>
      <c r="I349" s="782"/>
    </row>
    <row r="350" spans="1:9" s="783" customFormat="1" ht="15" hidden="1" outlineLevel="2">
      <c r="A350" s="779"/>
      <c r="B350" s="1132"/>
      <c r="C350" s="1133"/>
      <c r="D350" s="780"/>
      <c r="E350" s="781"/>
      <c r="F350" s="782"/>
      <c r="G350" s="782"/>
      <c r="H350" s="782"/>
      <c r="I350" s="782"/>
    </row>
    <row r="351" spans="1:9" s="783" customFormat="1" ht="18" hidden="1" customHeight="1" outlineLevel="2">
      <c r="A351" s="779"/>
      <c r="B351" s="1132"/>
      <c r="C351" s="1133"/>
      <c r="D351" s="780"/>
      <c r="E351" s="781"/>
      <c r="F351" s="782"/>
      <c r="G351" s="782"/>
      <c r="H351" s="782"/>
      <c r="I351" s="782"/>
    </row>
    <row r="352" spans="1:9" s="783" customFormat="1" ht="18" hidden="1" customHeight="1" outlineLevel="2">
      <c r="A352" s="779"/>
      <c r="B352" s="1132"/>
      <c r="C352" s="1133"/>
      <c r="D352" s="780"/>
      <c r="E352" s="781"/>
      <c r="F352" s="782"/>
      <c r="G352" s="782"/>
      <c r="H352" s="782"/>
      <c r="I352" s="782"/>
    </row>
    <row r="353" spans="1:9" s="787" customFormat="1" ht="18.75" hidden="1" customHeight="1" outlineLevel="2">
      <c r="A353" s="779"/>
      <c r="B353" s="1132"/>
      <c r="C353" s="1133"/>
      <c r="D353" s="784"/>
      <c r="E353" s="785"/>
      <c r="F353" s="786"/>
      <c r="G353" s="786"/>
      <c r="H353" s="786"/>
      <c r="I353" s="786"/>
    </row>
    <row r="354" spans="1:9" s="787" customFormat="1" ht="48.75" hidden="1" customHeight="1" outlineLevel="2">
      <c r="A354" s="779"/>
      <c r="B354" s="1132"/>
      <c r="C354" s="1133"/>
      <c r="D354" s="784"/>
      <c r="E354" s="785"/>
      <c r="F354" s="786"/>
      <c r="G354" s="786"/>
      <c r="H354" s="786"/>
      <c r="I354" s="786"/>
    </row>
    <row r="355" spans="1:9" s="787" customFormat="1" ht="33" hidden="1" customHeight="1" outlineLevel="2">
      <c r="A355" s="791"/>
      <c r="B355" s="1137"/>
      <c r="C355" s="1138"/>
      <c r="D355" s="799"/>
      <c r="E355" s="800"/>
      <c r="F355" s="793"/>
      <c r="G355" s="793"/>
      <c r="H355" s="793"/>
      <c r="I355" s="793"/>
    </row>
    <row r="356" spans="1:9" s="787" customFormat="1" ht="33" hidden="1" customHeight="1" outlineLevel="2">
      <c r="A356" s="779"/>
      <c r="B356" s="1132"/>
      <c r="C356" s="1133"/>
      <c r="D356" s="784"/>
      <c r="E356" s="785"/>
      <c r="F356" s="786"/>
      <c r="G356" s="786"/>
      <c r="H356" s="786"/>
      <c r="I356" s="786"/>
    </row>
    <row r="357" spans="1:9" s="787" customFormat="1" ht="33" hidden="1" customHeight="1" outlineLevel="2">
      <c r="A357" s="779"/>
      <c r="B357" s="1132"/>
      <c r="C357" s="1133"/>
      <c r="D357" s="784"/>
      <c r="E357" s="785"/>
      <c r="F357" s="786"/>
      <c r="G357" s="786"/>
      <c r="H357" s="786"/>
      <c r="I357" s="786"/>
    </row>
    <row r="358" spans="1:9" s="790" customFormat="1" ht="36" hidden="1" customHeight="1" outlineLevel="2">
      <c r="A358" s="779"/>
      <c r="B358" s="1132"/>
      <c r="C358" s="1133"/>
      <c r="D358" s="788"/>
      <c r="E358" s="789"/>
      <c r="F358" s="786"/>
      <c r="G358" s="786"/>
      <c r="H358" s="786"/>
      <c r="I358" s="786"/>
    </row>
    <row r="359" spans="1:9" s="790" customFormat="1" ht="15" hidden="1" outlineLevel="2">
      <c r="A359" s="779"/>
      <c r="B359" s="1132"/>
      <c r="C359" s="1133"/>
      <c r="D359" s="788"/>
      <c r="E359" s="789"/>
      <c r="F359" s="786"/>
      <c r="G359" s="786"/>
      <c r="H359" s="786"/>
      <c r="I359" s="786"/>
    </row>
    <row r="360" spans="1:9" s="790" customFormat="1" ht="30" hidden="1" customHeight="1" outlineLevel="2">
      <c r="A360" s="779"/>
      <c r="B360" s="1132"/>
      <c r="C360" s="1133"/>
      <c r="D360" s="788"/>
      <c r="E360" s="789"/>
      <c r="F360" s="786"/>
      <c r="G360" s="786"/>
      <c r="H360" s="786"/>
      <c r="I360" s="786"/>
    </row>
    <row r="361" spans="1:9" s="790" customFormat="1" ht="28.5" hidden="1" customHeight="1" outlineLevel="2">
      <c r="A361" s="779"/>
      <c r="B361" s="1132"/>
      <c r="C361" s="1133"/>
      <c r="D361" s="788"/>
      <c r="E361" s="789"/>
      <c r="F361" s="786"/>
      <c r="G361" s="786"/>
      <c r="H361" s="786"/>
      <c r="I361" s="786"/>
    </row>
    <row r="362" spans="1:9" s="790" customFormat="1" ht="28.5" hidden="1" customHeight="1" outlineLevel="2">
      <c r="A362" s="779"/>
      <c r="B362" s="1132"/>
      <c r="C362" s="1133"/>
      <c r="D362" s="788"/>
      <c r="E362" s="789"/>
      <c r="F362" s="786"/>
      <c r="G362" s="786"/>
      <c r="H362" s="786"/>
      <c r="I362" s="786"/>
    </row>
    <row r="363" spans="1:9" s="790" customFormat="1" ht="15" hidden="1" outlineLevel="2">
      <c r="A363" s="791"/>
      <c r="B363" s="1139"/>
      <c r="C363" s="1140"/>
      <c r="D363" s="799"/>
      <c r="E363" s="792"/>
      <c r="F363" s="793"/>
      <c r="G363" s="793"/>
      <c r="H363" s="793"/>
      <c r="I363" s="793"/>
    </row>
    <row r="364" spans="1:9" s="770" customFormat="1" ht="15" hidden="1" outlineLevel="1">
      <c r="A364" s="771"/>
      <c r="B364" s="807" t="s">
        <v>730</v>
      </c>
      <c r="C364" s="773" t="s">
        <v>519</v>
      </c>
      <c r="D364" s="774">
        <v>2100200088</v>
      </c>
      <c r="E364" s="775">
        <f>SUM(E365:E379)</f>
        <v>0</v>
      </c>
      <c r="F364" s="776">
        <f>+[28]เรียงตามเขต!H34</f>
        <v>0</v>
      </c>
      <c r="G364" s="776">
        <f>+[28]เรียงตามเขต!I34</f>
        <v>0</v>
      </c>
      <c r="H364" s="776">
        <f>E364-F364-G364</f>
        <v>0</v>
      </c>
      <c r="I364" s="776">
        <v>0</v>
      </c>
    </row>
    <row r="365" spans="1:9" s="783" customFormat="1" ht="47.25" hidden="1" customHeight="1" outlineLevel="2">
      <c r="A365" s="779"/>
      <c r="B365" s="1132"/>
      <c r="C365" s="1133"/>
      <c r="D365" s="780"/>
      <c r="E365" s="781"/>
      <c r="F365" s="782"/>
      <c r="G365" s="782"/>
      <c r="H365" s="782"/>
      <c r="I365" s="782"/>
    </row>
    <row r="366" spans="1:9" s="783" customFormat="1" ht="15" hidden="1" outlineLevel="2">
      <c r="A366" s="779"/>
      <c r="B366" s="1132"/>
      <c r="C366" s="1133"/>
      <c r="D366" s="780"/>
      <c r="E366" s="781"/>
      <c r="F366" s="782"/>
      <c r="G366" s="782"/>
      <c r="H366" s="782"/>
      <c r="I366" s="782"/>
    </row>
    <row r="367" spans="1:9" s="783" customFormat="1" ht="18" hidden="1" customHeight="1" outlineLevel="2">
      <c r="A367" s="779"/>
      <c r="B367" s="1132"/>
      <c r="C367" s="1133"/>
      <c r="D367" s="780"/>
      <c r="E367" s="781"/>
      <c r="F367" s="782"/>
      <c r="G367" s="782"/>
      <c r="H367" s="782"/>
      <c r="I367" s="782"/>
    </row>
    <row r="368" spans="1:9" s="783" customFormat="1" ht="18" hidden="1" customHeight="1" outlineLevel="2">
      <c r="A368" s="779"/>
      <c r="B368" s="1132"/>
      <c r="C368" s="1133"/>
      <c r="D368" s="780"/>
      <c r="E368" s="781"/>
      <c r="F368" s="782"/>
      <c r="G368" s="782"/>
      <c r="H368" s="782"/>
      <c r="I368" s="782"/>
    </row>
    <row r="369" spans="1:9" s="787" customFormat="1" ht="18.75" hidden="1" customHeight="1" outlineLevel="2">
      <c r="A369" s="779"/>
      <c r="B369" s="1132"/>
      <c r="C369" s="1133"/>
      <c r="D369" s="784"/>
      <c r="E369" s="785"/>
      <c r="F369" s="786"/>
      <c r="G369" s="786"/>
      <c r="H369" s="786"/>
      <c r="I369" s="786"/>
    </row>
    <row r="370" spans="1:9" s="787" customFormat="1" ht="48.75" hidden="1" customHeight="1" outlineLevel="2">
      <c r="A370" s="779"/>
      <c r="B370" s="1132"/>
      <c r="C370" s="1133"/>
      <c r="D370" s="784"/>
      <c r="E370" s="785"/>
      <c r="F370" s="786"/>
      <c r="G370" s="786"/>
      <c r="H370" s="786"/>
      <c r="I370" s="786"/>
    </row>
    <row r="371" spans="1:9" s="787" customFormat="1" ht="33" hidden="1" customHeight="1" outlineLevel="2">
      <c r="A371" s="779"/>
      <c r="B371" s="1132"/>
      <c r="C371" s="1133"/>
      <c r="D371" s="784"/>
      <c r="E371" s="785"/>
      <c r="F371" s="786"/>
      <c r="G371" s="786"/>
      <c r="H371" s="786"/>
      <c r="I371" s="786"/>
    </row>
    <row r="372" spans="1:9" s="787" customFormat="1" ht="33" hidden="1" customHeight="1" outlineLevel="2">
      <c r="A372" s="779"/>
      <c r="B372" s="1132"/>
      <c r="C372" s="1133"/>
      <c r="D372" s="784"/>
      <c r="E372" s="785"/>
      <c r="F372" s="786"/>
      <c r="G372" s="786"/>
      <c r="H372" s="786"/>
      <c r="I372" s="786"/>
    </row>
    <row r="373" spans="1:9" s="787" customFormat="1" ht="33" hidden="1" customHeight="1" outlineLevel="2">
      <c r="A373" s="779"/>
      <c r="B373" s="1132"/>
      <c r="C373" s="1133"/>
      <c r="D373" s="784"/>
      <c r="E373" s="785"/>
      <c r="F373" s="786"/>
      <c r="G373" s="786"/>
      <c r="H373" s="786"/>
      <c r="I373" s="786"/>
    </row>
    <row r="374" spans="1:9" s="790" customFormat="1" ht="36" hidden="1" customHeight="1" outlineLevel="2">
      <c r="A374" s="779"/>
      <c r="B374" s="1132"/>
      <c r="C374" s="1133"/>
      <c r="D374" s="788"/>
      <c r="E374" s="789"/>
      <c r="F374" s="786"/>
      <c r="G374" s="786"/>
      <c r="H374" s="786"/>
      <c r="I374" s="786"/>
    </row>
    <row r="375" spans="1:9" s="790" customFormat="1" ht="15" hidden="1" outlineLevel="2">
      <c r="A375" s="779"/>
      <c r="B375" s="1132"/>
      <c r="C375" s="1133"/>
      <c r="D375" s="788"/>
      <c r="E375" s="789"/>
      <c r="F375" s="786"/>
      <c r="G375" s="786"/>
      <c r="H375" s="786"/>
      <c r="I375" s="786"/>
    </row>
    <row r="376" spans="1:9" s="790" customFormat="1" ht="30" hidden="1" customHeight="1" outlineLevel="2">
      <c r="A376" s="779"/>
      <c r="B376" s="1132"/>
      <c r="C376" s="1133"/>
      <c r="D376" s="788"/>
      <c r="E376" s="789"/>
      <c r="F376" s="786"/>
      <c r="G376" s="786"/>
      <c r="H376" s="786"/>
      <c r="I376" s="786"/>
    </row>
    <row r="377" spans="1:9" s="790" customFormat="1" ht="15" hidden="1" outlineLevel="2">
      <c r="A377" s="779"/>
      <c r="B377" s="1132"/>
      <c r="C377" s="1133"/>
      <c r="D377" s="788"/>
      <c r="E377" s="789"/>
      <c r="F377" s="786"/>
      <c r="G377" s="786"/>
      <c r="H377" s="786"/>
      <c r="I377" s="786"/>
    </row>
    <row r="378" spans="1:9" s="790" customFormat="1" ht="15" hidden="1" outlineLevel="2">
      <c r="A378" s="779"/>
      <c r="B378" s="1132"/>
      <c r="C378" s="1133"/>
      <c r="D378" s="788"/>
      <c r="E378" s="789"/>
      <c r="F378" s="786"/>
      <c r="G378" s="786"/>
      <c r="H378" s="786"/>
      <c r="I378" s="786"/>
    </row>
    <row r="379" spans="1:9" s="790" customFormat="1" ht="15" hidden="1" outlineLevel="2">
      <c r="A379" s="779"/>
      <c r="B379" s="1132"/>
      <c r="C379" s="1133"/>
      <c r="D379" s="784"/>
      <c r="E379" s="785"/>
      <c r="F379" s="786"/>
      <c r="G379" s="786"/>
      <c r="H379" s="786"/>
      <c r="I379" s="786"/>
    </row>
    <row r="380" spans="1:9" s="816" customFormat="1" ht="15" hidden="1" customHeight="1" outlineLevel="1">
      <c r="A380" s="771"/>
      <c r="B380" s="807" t="s">
        <v>731</v>
      </c>
      <c r="C380" s="773" t="s">
        <v>521</v>
      </c>
      <c r="D380" s="774">
        <v>2100200091</v>
      </c>
      <c r="E380" s="775">
        <f>SUM(E381:E395)</f>
        <v>0</v>
      </c>
      <c r="F380" s="776">
        <f>+[28]เรียงตามเขต!H35</f>
        <v>0</v>
      </c>
      <c r="G380" s="776">
        <f>+[28]เรียงตามเขต!I35</f>
        <v>0</v>
      </c>
      <c r="H380" s="776">
        <f>E380-F380-G380</f>
        <v>0</v>
      </c>
      <c r="I380" s="776">
        <v>0</v>
      </c>
    </row>
    <row r="381" spans="1:9" s="783" customFormat="1" ht="47.25" hidden="1" customHeight="1" outlineLevel="2">
      <c r="A381" s="779"/>
      <c r="B381" s="1132"/>
      <c r="C381" s="1133"/>
      <c r="D381" s="780"/>
      <c r="E381" s="781"/>
      <c r="F381" s="782"/>
      <c r="G381" s="782"/>
      <c r="H381" s="782"/>
      <c r="I381" s="782"/>
    </row>
    <row r="382" spans="1:9" s="783" customFormat="1" ht="15" hidden="1" outlineLevel="2">
      <c r="A382" s="779"/>
      <c r="B382" s="1132"/>
      <c r="C382" s="1133"/>
      <c r="D382" s="780"/>
      <c r="E382" s="781"/>
      <c r="F382" s="782"/>
      <c r="G382" s="782"/>
      <c r="H382" s="782"/>
      <c r="I382" s="782"/>
    </row>
    <row r="383" spans="1:9" s="783" customFormat="1" ht="18" hidden="1" customHeight="1" outlineLevel="2">
      <c r="A383" s="779"/>
      <c r="B383" s="1132"/>
      <c r="C383" s="1133"/>
      <c r="D383" s="780"/>
      <c r="E383" s="781"/>
      <c r="F383" s="782"/>
      <c r="G383" s="782"/>
      <c r="H383" s="782"/>
      <c r="I383" s="782"/>
    </row>
    <row r="384" spans="1:9" s="783" customFormat="1" ht="18" hidden="1" customHeight="1" outlineLevel="2">
      <c r="A384" s="779"/>
      <c r="B384" s="1132"/>
      <c r="C384" s="1133"/>
      <c r="D384" s="780"/>
      <c r="E384" s="781"/>
      <c r="F384" s="782"/>
      <c r="G384" s="782"/>
      <c r="H384" s="782"/>
      <c r="I384" s="782"/>
    </row>
    <row r="385" spans="1:9" s="787" customFormat="1" ht="18.75" hidden="1" customHeight="1" outlineLevel="2">
      <c r="A385" s="791"/>
      <c r="B385" s="1137"/>
      <c r="C385" s="1138"/>
      <c r="D385" s="799"/>
      <c r="E385" s="800"/>
      <c r="F385" s="793"/>
      <c r="G385" s="793"/>
      <c r="H385" s="793"/>
      <c r="I385" s="793"/>
    </row>
    <row r="386" spans="1:9" s="787" customFormat="1" ht="48.75" hidden="1" customHeight="1" outlineLevel="2">
      <c r="A386" s="779"/>
      <c r="B386" s="1132"/>
      <c r="C386" s="1133"/>
      <c r="D386" s="784"/>
      <c r="E386" s="785"/>
      <c r="F386" s="786"/>
      <c r="G386" s="786"/>
      <c r="H386" s="786"/>
      <c r="I386" s="786"/>
    </row>
    <row r="387" spans="1:9" s="787" customFormat="1" ht="33" hidden="1" customHeight="1" outlineLevel="2">
      <c r="A387" s="779"/>
      <c r="B387" s="1132"/>
      <c r="C387" s="1133"/>
      <c r="D387" s="784"/>
      <c r="E387" s="785"/>
      <c r="F387" s="786"/>
      <c r="G387" s="786"/>
      <c r="H387" s="786"/>
      <c r="I387" s="786"/>
    </row>
    <row r="388" spans="1:9" s="787" customFormat="1" ht="33" hidden="1" customHeight="1" outlineLevel="2">
      <c r="A388" s="779"/>
      <c r="B388" s="1132"/>
      <c r="C388" s="1133"/>
      <c r="D388" s="784"/>
      <c r="E388" s="785"/>
      <c r="F388" s="786"/>
      <c r="G388" s="786"/>
      <c r="H388" s="786"/>
      <c r="I388" s="786"/>
    </row>
    <row r="389" spans="1:9" s="787" customFormat="1" ht="33" hidden="1" customHeight="1" outlineLevel="2">
      <c r="A389" s="779"/>
      <c r="B389" s="1132"/>
      <c r="C389" s="1133"/>
      <c r="D389" s="784"/>
      <c r="E389" s="785"/>
      <c r="F389" s="786"/>
      <c r="G389" s="786"/>
      <c r="H389" s="786"/>
      <c r="I389" s="786"/>
    </row>
    <row r="390" spans="1:9" s="790" customFormat="1" ht="36" hidden="1" customHeight="1" outlineLevel="2">
      <c r="A390" s="779"/>
      <c r="B390" s="1132"/>
      <c r="C390" s="1133"/>
      <c r="D390" s="788"/>
      <c r="E390" s="789"/>
      <c r="F390" s="786"/>
      <c r="G390" s="786"/>
      <c r="H390" s="786"/>
      <c r="I390" s="786"/>
    </row>
    <row r="391" spans="1:9" s="790" customFormat="1" ht="15" hidden="1" outlineLevel="2">
      <c r="A391" s="779"/>
      <c r="B391" s="1132"/>
      <c r="C391" s="1133"/>
      <c r="D391" s="788"/>
      <c r="E391" s="789"/>
      <c r="F391" s="786"/>
      <c r="G391" s="786"/>
      <c r="H391" s="786"/>
      <c r="I391" s="786"/>
    </row>
    <row r="392" spans="1:9" s="790" customFormat="1" ht="30" hidden="1" customHeight="1" outlineLevel="2">
      <c r="A392" s="779"/>
      <c r="B392" s="1132"/>
      <c r="C392" s="1133"/>
      <c r="D392" s="788"/>
      <c r="E392" s="789"/>
      <c r="F392" s="786"/>
      <c r="G392" s="786"/>
      <c r="H392" s="786"/>
      <c r="I392" s="786"/>
    </row>
    <row r="393" spans="1:9" s="790" customFormat="1" ht="28.5" hidden="1" customHeight="1" outlineLevel="2">
      <c r="A393" s="779"/>
      <c r="B393" s="1132"/>
      <c r="C393" s="1133"/>
      <c r="D393" s="788"/>
      <c r="E393" s="789"/>
      <c r="F393" s="786"/>
      <c r="G393" s="786"/>
      <c r="H393" s="786"/>
      <c r="I393" s="786"/>
    </row>
    <row r="394" spans="1:9" s="790" customFormat="1" ht="28.5" hidden="1" customHeight="1" outlineLevel="2">
      <c r="A394" s="779"/>
      <c r="B394" s="1132"/>
      <c r="C394" s="1133"/>
      <c r="D394" s="788"/>
      <c r="E394" s="789"/>
      <c r="F394" s="786"/>
      <c r="G394" s="786"/>
      <c r="H394" s="786"/>
      <c r="I394" s="786"/>
    </row>
    <row r="395" spans="1:9" s="790" customFormat="1" ht="15" hidden="1" outlineLevel="2">
      <c r="A395" s="791"/>
      <c r="B395" s="1139"/>
      <c r="C395" s="1140"/>
      <c r="D395" s="799"/>
      <c r="E395" s="792"/>
      <c r="F395" s="793"/>
      <c r="G395" s="793"/>
      <c r="H395" s="793"/>
      <c r="I395" s="793"/>
    </row>
    <row r="396" spans="1:9" s="816" customFormat="1" ht="15" hidden="1" outlineLevel="1">
      <c r="A396" s="771"/>
      <c r="B396" s="807" t="s">
        <v>732</v>
      </c>
      <c r="C396" s="773" t="s">
        <v>523</v>
      </c>
      <c r="D396" s="774">
        <v>2100200096</v>
      </c>
      <c r="E396" s="775">
        <f>SUM(E397:E412)</f>
        <v>0</v>
      </c>
      <c r="F396" s="776">
        <f>+[28]เรียงตามเขต!H36</f>
        <v>0</v>
      </c>
      <c r="G396" s="776">
        <f>+[28]เรียงตามเขต!I36</f>
        <v>0</v>
      </c>
      <c r="H396" s="776">
        <f>E396-F396-G396</f>
        <v>0</v>
      </c>
      <c r="I396" s="776">
        <v>0</v>
      </c>
    </row>
    <row r="397" spans="1:9" s="783" customFormat="1" ht="47.25" hidden="1" customHeight="1" outlineLevel="2">
      <c r="A397" s="779"/>
      <c r="B397" s="1132"/>
      <c r="C397" s="1133"/>
      <c r="D397" s="780"/>
      <c r="E397" s="781"/>
      <c r="F397" s="782"/>
      <c r="G397" s="782"/>
      <c r="H397" s="782"/>
      <c r="I397" s="782"/>
    </row>
    <row r="398" spans="1:9" s="783" customFormat="1" ht="15" hidden="1" outlineLevel="2">
      <c r="A398" s="779"/>
      <c r="B398" s="1132"/>
      <c r="C398" s="1133"/>
      <c r="D398" s="780"/>
      <c r="E398" s="781"/>
      <c r="F398" s="782"/>
      <c r="G398" s="782"/>
      <c r="H398" s="782"/>
      <c r="I398" s="782"/>
    </row>
    <row r="399" spans="1:9" s="783" customFormat="1" ht="18" hidden="1" customHeight="1" outlineLevel="2">
      <c r="A399" s="779"/>
      <c r="B399" s="1132"/>
      <c r="C399" s="1133"/>
      <c r="D399" s="780"/>
      <c r="E399" s="781"/>
      <c r="F399" s="782"/>
      <c r="G399" s="782"/>
      <c r="H399" s="782"/>
      <c r="I399" s="782"/>
    </row>
    <row r="400" spans="1:9" s="783" customFormat="1" ht="18" hidden="1" customHeight="1" outlineLevel="2">
      <c r="A400" s="779"/>
      <c r="B400" s="1132"/>
      <c r="C400" s="1133"/>
      <c r="D400" s="780"/>
      <c r="E400" s="781"/>
      <c r="F400" s="782"/>
      <c r="G400" s="782"/>
      <c r="H400" s="782"/>
      <c r="I400" s="782"/>
    </row>
    <row r="401" spans="1:9" s="787" customFormat="1" ht="18.75" hidden="1" customHeight="1" outlineLevel="2">
      <c r="A401" s="779"/>
      <c r="B401" s="1132"/>
      <c r="C401" s="1133"/>
      <c r="D401" s="784"/>
      <c r="E401" s="785"/>
      <c r="F401" s="786"/>
      <c r="G401" s="786"/>
      <c r="H401" s="786"/>
      <c r="I401" s="786"/>
    </row>
    <row r="402" spans="1:9" s="787" customFormat="1" ht="48.75" hidden="1" customHeight="1" outlineLevel="2">
      <c r="A402" s="779"/>
      <c r="B402" s="1132"/>
      <c r="C402" s="1133"/>
      <c r="D402" s="784"/>
      <c r="E402" s="785"/>
      <c r="F402" s="786"/>
      <c r="G402" s="786"/>
      <c r="H402" s="786"/>
      <c r="I402" s="786"/>
    </row>
    <row r="403" spans="1:9" s="787" customFormat="1" ht="33" hidden="1" customHeight="1" outlineLevel="2">
      <c r="A403" s="779"/>
      <c r="B403" s="1132"/>
      <c r="C403" s="1133"/>
      <c r="D403" s="784"/>
      <c r="E403" s="785"/>
      <c r="F403" s="786"/>
      <c r="G403" s="786"/>
      <c r="H403" s="786"/>
      <c r="I403" s="786"/>
    </row>
    <row r="404" spans="1:9" s="787" customFormat="1" ht="33" hidden="1" customHeight="1" outlineLevel="2">
      <c r="A404" s="779"/>
      <c r="B404" s="1132"/>
      <c r="C404" s="1133"/>
      <c r="D404" s="784"/>
      <c r="E404" s="785"/>
      <c r="F404" s="786"/>
      <c r="G404" s="786"/>
      <c r="H404" s="786"/>
      <c r="I404" s="786"/>
    </row>
    <row r="405" spans="1:9" s="787" customFormat="1" ht="30.75" hidden="1" customHeight="1" outlineLevel="2">
      <c r="A405" s="779"/>
      <c r="B405" s="1132"/>
      <c r="C405" s="1133"/>
      <c r="D405" s="784"/>
      <c r="E405" s="785"/>
      <c r="F405" s="786"/>
      <c r="G405" s="786"/>
      <c r="H405" s="786"/>
      <c r="I405" s="786"/>
    </row>
    <row r="406" spans="1:9" s="787" customFormat="1" ht="33" hidden="1" customHeight="1" outlineLevel="2">
      <c r="A406" s="779"/>
      <c r="B406" s="1132"/>
      <c r="C406" s="1133"/>
      <c r="D406" s="784"/>
      <c r="E406" s="785"/>
      <c r="F406" s="786"/>
      <c r="G406" s="786"/>
      <c r="H406" s="786"/>
      <c r="I406" s="786"/>
    </row>
    <row r="407" spans="1:9" s="790" customFormat="1" ht="36" hidden="1" customHeight="1" outlineLevel="2">
      <c r="A407" s="779"/>
      <c r="B407" s="1132"/>
      <c r="C407" s="1133"/>
      <c r="D407" s="788"/>
      <c r="E407" s="789"/>
      <c r="F407" s="786"/>
      <c r="G407" s="786"/>
      <c r="H407" s="786"/>
      <c r="I407" s="786"/>
    </row>
    <row r="408" spans="1:9" s="790" customFormat="1" ht="15" hidden="1" outlineLevel="2">
      <c r="A408" s="779"/>
      <c r="B408" s="1132"/>
      <c r="C408" s="1133"/>
      <c r="D408" s="788"/>
      <c r="E408" s="789"/>
      <c r="F408" s="786"/>
      <c r="G408" s="786"/>
      <c r="H408" s="786"/>
      <c r="I408" s="786"/>
    </row>
    <row r="409" spans="1:9" s="790" customFormat="1" ht="30" hidden="1" customHeight="1" outlineLevel="2">
      <c r="A409" s="779"/>
      <c r="B409" s="1132"/>
      <c r="C409" s="1133"/>
      <c r="D409" s="788"/>
      <c r="E409" s="789"/>
      <c r="F409" s="786"/>
      <c r="G409" s="786"/>
      <c r="H409" s="786"/>
      <c r="I409" s="786"/>
    </row>
    <row r="410" spans="1:9" s="790" customFormat="1" ht="28.5" hidden="1" customHeight="1" outlineLevel="2">
      <c r="A410" s="779"/>
      <c r="B410" s="1132"/>
      <c r="C410" s="1133"/>
      <c r="D410" s="788"/>
      <c r="E410" s="789"/>
      <c r="F410" s="786"/>
      <c r="G410" s="786"/>
      <c r="H410" s="786"/>
      <c r="I410" s="786"/>
    </row>
    <row r="411" spans="1:9" s="790" customFormat="1" ht="28.5" hidden="1" customHeight="1" outlineLevel="2">
      <c r="A411" s="779"/>
      <c r="B411" s="1132"/>
      <c r="C411" s="1133"/>
      <c r="D411" s="788"/>
      <c r="E411" s="789"/>
      <c r="F411" s="786"/>
      <c r="G411" s="786"/>
      <c r="H411" s="786"/>
      <c r="I411" s="786"/>
    </row>
    <row r="412" spans="1:9" s="790" customFormat="1" ht="15" hidden="1" outlineLevel="2">
      <c r="A412" s="791"/>
      <c r="B412" s="1139"/>
      <c r="C412" s="1140"/>
      <c r="D412" s="792"/>
      <c r="E412" s="792"/>
      <c r="F412" s="793"/>
      <c r="G412" s="793"/>
      <c r="H412" s="793"/>
      <c r="I412" s="793"/>
    </row>
    <row r="413" spans="1:9" s="770" customFormat="1" ht="15" hidden="1" outlineLevel="1">
      <c r="A413" s="771"/>
      <c r="B413" s="817" t="s">
        <v>733</v>
      </c>
      <c r="C413" s="773" t="s">
        <v>525</v>
      </c>
      <c r="D413" s="774">
        <v>2100200111</v>
      </c>
      <c r="E413" s="775">
        <f>SUM(E414:E428)</f>
        <v>0</v>
      </c>
      <c r="F413" s="776">
        <f>+[28]เรียงตามเขต!H37</f>
        <v>0</v>
      </c>
      <c r="G413" s="776">
        <f>+[28]เรียงตามเขต!I37</f>
        <v>0</v>
      </c>
      <c r="H413" s="776">
        <f>E413-F413-G413</f>
        <v>0</v>
      </c>
      <c r="I413" s="776">
        <v>0</v>
      </c>
    </row>
    <row r="414" spans="1:9" s="783" customFormat="1" ht="47.25" hidden="1" customHeight="1" outlineLevel="2">
      <c r="A414" s="779"/>
      <c r="B414" s="1132"/>
      <c r="C414" s="1133"/>
      <c r="D414" s="780"/>
      <c r="E414" s="781"/>
      <c r="F414" s="782"/>
      <c r="G414" s="782"/>
      <c r="H414" s="782"/>
      <c r="I414" s="782"/>
    </row>
    <row r="415" spans="1:9" s="783" customFormat="1" ht="15" hidden="1" outlineLevel="2">
      <c r="A415" s="779"/>
      <c r="B415" s="1132"/>
      <c r="C415" s="1133"/>
      <c r="D415" s="780"/>
      <c r="E415" s="781"/>
      <c r="F415" s="782"/>
      <c r="G415" s="782"/>
      <c r="H415" s="782"/>
      <c r="I415" s="782"/>
    </row>
    <row r="416" spans="1:9" s="783" customFormat="1" ht="18" hidden="1" customHeight="1" outlineLevel="2">
      <c r="A416" s="779"/>
      <c r="B416" s="1132"/>
      <c r="C416" s="1133"/>
      <c r="D416" s="780"/>
      <c r="E416" s="781"/>
      <c r="F416" s="782"/>
      <c r="G416" s="782"/>
      <c r="H416" s="782"/>
      <c r="I416" s="782"/>
    </row>
    <row r="417" spans="1:9" s="783" customFormat="1" ht="18" hidden="1" customHeight="1" outlineLevel="2">
      <c r="A417" s="779"/>
      <c r="B417" s="1132"/>
      <c r="C417" s="1133"/>
      <c r="D417" s="780"/>
      <c r="E417" s="781"/>
      <c r="F417" s="782"/>
      <c r="G417" s="782"/>
      <c r="H417" s="782"/>
      <c r="I417" s="782"/>
    </row>
    <row r="418" spans="1:9" s="787" customFormat="1" ht="18.75" hidden="1" customHeight="1" outlineLevel="2">
      <c r="A418" s="779"/>
      <c r="B418" s="1132"/>
      <c r="C418" s="1133"/>
      <c r="D418" s="784"/>
      <c r="E418" s="785"/>
      <c r="F418" s="786"/>
      <c r="G418" s="786"/>
      <c r="H418" s="786"/>
      <c r="I418" s="786"/>
    </row>
    <row r="419" spans="1:9" s="787" customFormat="1" ht="48.75" hidden="1" customHeight="1" outlineLevel="2">
      <c r="A419" s="779"/>
      <c r="B419" s="1132"/>
      <c r="C419" s="1133"/>
      <c r="D419" s="784"/>
      <c r="E419" s="785"/>
      <c r="F419" s="786"/>
      <c r="G419" s="786"/>
      <c r="H419" s="786"/>
      <c r="I419" s="786"/>
    </row>
    <row r="420" spans="1:9" s="787" customFormat="1" ht="33" hidden="1" customHeight="1" outlineLevel="2">
      <c r="A420" s="779"/>
      <c r="B420" s="1132"/>
      <c r="C420" s="1133"/>
      <c r="D420" s="784"/>
      <c r="E420" s="785"/>
      <c r="F420" s="786"/>
      <c r="G420" s="786"/>
      <c r="H420" s="786"/>
      <c r="I420" s="786"/>
    </row>
    <row r="421" spans="1:9" s="787" customFormat="1" ht="33" hidden="1" customHeight="1" outlineLevel="2">
      <c r="A421" s="779"/>
      <c r="B421" s="1132"/>
      <c r="C421" s="1133"/>
      <c r="D421" s="784"/>
      <c r="E421" s="785"/>
      <c r="F421" s="786"/>
      <c r="G421" s="786"/>
      <c r="H421" s="786"/>
      <c r="I421" s="786"/>
    </row>
    <row r="422" spans="1:9" s="787" customFormat="1" ht="33" hidden="1" customHeight="1" outlineLevel="2">
      <c r="A422" s="779"/>
      <c r="B422" s="1132"/>
      <c r="C422" s="1133"/>
      <c r="D422" s="784"/>
      <c r="E422" s="785"/>
      <c r="F422" s="786"/>
      <c r="G422" s="786"/>
      <c r="H422" s="786"/>
      <c r="I422" s="786"/>
    </row>
    <row r="423" spans="1:9" s="790" customFormat="1" ht="36" hidden="1" customHeight="1" outlineLevel="2">
      <c r="A423" s="779"/>
      <c r="B423" s="1132"/>
      <c r="C423" s="1133"/>
      <c r="D423" s="788"/>
      <c r="E423" s="789"/>
      <c r="F423" s="786"/>
      <c r="G423" s="786"/>
      <c r="H423" s="786"/>
      <c r="I423" s="786"/>
    </row>
    <row r="424" spans="1:9" s="790" customFormat="1" ht="15" hidden="1" outlineLevel="2">
      <c r="A424" s="779"/>
      <c r="B424" s="1132" t="s">
        <v>820</v>
      </c>
      <c r="C424" s="1133"/>
      <c r="D424" s="788"/>
      <c r="E424" s="789">
        <v>0</v>
      </c>
      <c r="F424" s="786"/>
      <c r="G424" s="786"/>
      <c r="H424" s="786"/>
      <c r="I424" s="786"/>
    </row>
    <row r="425" spans="1:9" s="790" customFormat="1" ht="30" hidden="1" customHeight="1" outlineLevel="2">
      <c r="A425" s="779"/>
      <c r="B425" s="1132" t="s">
        <v>821</v>
      </c>
      <c r="C425" s="1133"/>
      <c r="D425" s="788"/>
      <c r="E425" s="789">
        <v>0</v>
      </c>
      <c r="F425" s="786"/>
      <c r="G425" s="786"/>
      <c r="H425" s="786"/>
      <c r="I425" s="786"/>
    </row>
    <row r="426" spans="1:9" s="790" customFormat="1" ht="28.5" hidden="1" customHeight="1" outlineLevel="2">
      <c r="A426" s="779"/>
      <c r="B426" s="1132" t="s">
        <v>822</v>
      </c>
      <c r="C426" s="1133"/>
      <c r="D426" s="788"/>
      <c r="E426" s="789">
        <v>0</v>
      </c>
      <c r="F426" s="786"/>
      <c r="G426" s="786"/>
      <c r="H426" s="786"/>
      <c r="I426" s="786"/>
    </row>
    <row r="427" spans="1:9" s="790" customFormat="1" ht="28.5" hidden="1" customHeight="1" outlineLevel="2">
      <c r="A427" s="779"/>
      <c r="B427" s="1132" t="s">
        <v>823</v>
      </c>
      <c r="C427" s="1133"/>
      <c r="D427" s="788"/>
      <c r="E427" s="789">
        <v>0</v>
      </c>
      <c r="F427" s="786"/>
      <c r="G427" s="786"/>
      <c r="H427" s="786"/>
      <c r="I427" s="786"/>
    </row>
    <row r="428" spans="1:9" s="790" customFormat="1" ht="15" hidden="1" outlineLevel="2">
      <c r="A428" s="791"/>
      <c r="B428" s="1137"/>
      <c r="C428" s="1138"/>
      <c r="D428" s="788"/>
      <c r="E428" s="792"/>
      <c r="F428" s="793"/>
      <c r="G428" s="793"/>
      <c r="H428" s="793"/>
      <c r="I428" s="793"/>
    </row>
    <row r="429" spans="1:9" s="770" customFormat="1" outlineLevel="1" collapsed="1">
      <c r="A429" s="763"/>
      <c r="B429" s="764" t="s">
        <v>825</v>
      </c>
      <c r="C429" s="765"/>
      <c r="D429" s="766"/>
      <c r="E429" s="767">
        <f>+E430+E445+E460+E476+E506+E491+E522+E537</f>
        <v>130520</v>
      </c>
      <c r="F429" s="767">
        <f>+F430+F445+F460+F476+F506+F491+F522+F537</f>
        <v>0</v>
      </c>
      <c r="G429" s="767">
        <f>+G430+G445+G460+G476+G506+G491+G522+G537</f>
        <v>0</v>
      </c>
      <c r="H429" s="767">
        <f>+H430+H445+H460+H476+H506+H491+H522+H537</f>
        <v>130520</v>
      </c>
      <c r="I429" s="767">
        <f>SUM(I430:I537)</f>
        <v>0</v>
      </c>
    </row>
    <row r="430" spans="1:9" s="770" customFormat="1" ht="15" hidden="1" outlineLevel="2">
      <c r="A430" s="771"/>
      <c r="B430" s="772" t="s">
        <v>734</v>
      </c>
      <c r="C430" s="773" t="s">
        <v>528</v>
      </c>
      <c r="D430" s="774">
        <v>2100200191</v>
      </c>
      <c r="E430" s="775">
        <f>SUM(E431:E444)</f>
        <v>0</v>
      </c>
      <c r="F430" s="776">
        <f>+[28]เรียงตามเขต!H39</f>
        <v>0</v>
      </c>
      <c r="G430" s="776">
        <f>+[28]เรียงตามเขต!I39</f>
        <v>0</v>
      </c>
      <c r="H430" s="776">
        <f>E430-F430-G430</f>
        <v>0</v>
      </c>
      <c r="I430" s="776">
        <v>0</v>
      </c>
    </row>
    <row r="431" spans="1:9" s="783" customFormat="1" ht="47.25" hidden="1" customHeight="1" outlineLevel="2">
      <c r="A431" s="779"/>
      <c r="B431" s="1132"/>
      <c r="C431" s="1133"/>
      <c r="D431" s="780"/>
      <c r="E431" s="781"/>
      <c r="F431" s="782"/>
      <c r="G431" s="782"/>
      <c r="H431" s="782"/>
      <c r="I431" s="782"/>
    </row>
    <row r="432" spans="1:9" s="783" customFormat="1" ht="15" hidden="1" outlineLevel="2">
      <c r="A432" s="779"/>
      <c r="B432" s="1132"/>
      <c r="C432" s="1133"/>
      <c r="D432" s="780"/>
      <c r="E432" s="781"/>
      <c r="F432" s="782"/>
      <c r="G432" s="782"/>
      <c r="H432" s="782"/>
      <c r="I432" s="782"/>
    </row>
    <row r="433" spans="1:9" s="783" customFormat="1" ht="18" hidden="1" customHeight="1" outlineLevel="2">
      <c r="A433" s="779"/>
      <c r="B433" s="1132"/>
      <c r="C433" s="1133"/>
      <c r="D433" s="780"/>
      <c r="E433" s="781"/>
      <c r="F433" s="782"/>
      <c r="G433" s="782"/>
      <c r="H433" s="782"/>
      <c r="I433" s="782"/>
    </row>
    <row r="434" spans="1:9" s="783" customFormat="1" ht="18" hidden="1" customHeight="1" outlineLevel="2">
      <c r="A434" s="779"/>
      <c r="B434" s="1132"/>
      <c r="C434" s="1133"/>
      <c r="D434" s="780"/>
      <c r="E434" s="781"/>
      <c r="F434" s="782"/>
      <c r="G434" s="782"/>
      <c r="H434" s="782"/>
      <c r="I434" s="782"/>
    </row>
    <row r="435" spans="1:9" s="787" customFormat="1" ht="18.75" hidden="1" customHeight="1" outlineLevel="2">
      <c r="A435" s="779"/>
      <c r="B435" s="1132"/>
      <c r="C435" s="1133"/>
      <c r="D435" s="784"/>
      <c r="E435" s="785"/>
      <c r="F435" s="786"/>
      <c r="G435" s="786"/>
      <c r="H435" s="786"/>
      <c r="I435" s="786"/>
    </row>
    <row r="436" spans="1:9" s="787" customFormat="1" ht="48.75" hidden="1" customHeight="1" outlineLevel="2">
      <c r="A436" s="779"/>
      <c r="B436" s="1132"/>
      <c r="C436" s="1133"/>
      <c r="D436" s="784"/>
      <c r="E436" s="785"/>
      <c r="F436" s="786"/>
      <c r="G436" s="786"/>
      <c r="H436" s="786"/>
      <c r="I436" s="786"/>
    </row>
    <row r="437" spans="1:9" s="787" customFormat="1" ht="33" hidden="1" customHeight="1" outlineLevel="2">
      <c r="A437" s="779"/>
      <c r="B437" s="1132"/>
      <c r="C437" s="1133"/>
      <c r="D437" s="784"/>
      <c r="E437" s="785"/>
      <c r="F437" s="786"/>
      <c r="G437" s="786"/>
      <c r="H437" s="786"/>
      <c r="I437" s="786"/>
    </row>
    <row r="438" spans="1:9" s="787" customFormat="1" ht="33" hidden="1" customHeight="1" outlineLevel="2">
      <c r="A438" s="779"/>
      <c r="B438" s="1132"/>
      <c r="C438" s="1133"/>
      <c r="D438" s="784"/>
      <c r="E438" s="785"/>
      <c r="F438" s="786"/>
      <c r="G438" s="786"/>
      <c r="H438" s="786"/>
      <c r="I438" s="786"/>
    </row>
    <row r="439" spans="1:9" s="790" customFormat="1" ht="36" hidden="1" customHeight="1" outlineLevel="2">
      <c r="A439" s="779"/>
      <c r="B439" s="1132"/>
      <c r="C439" s="1133"/>
      <c r="D439" s="788"/>
      <c r="E439" s="789"/>
      <c r="F439" s="786"/>
      <c r="G439" s="786"/>
      <c r="H439" s="786"/>
      <c r="I439" s="786"/>
    </row>
    <row r="440" spans="1:9" s="790" customFormat="1" ht="15" hidden="1" outlineLevel="2">
      <c r="A440" s="779"/>
      <c r="B440" s="1132"/>
      <c r="C440" s="1133"/>
      <c r="D440" s="788"/>
      <c r="E440" s="789"/>
      <c r="F440" s="786"/>
      <c r="G440" s="786"/>
      <c r="H440" s="786"/>
      <c r="I440" s="786"/>
    </row>
    <row r="441" spans="1:9" s="790" customFormat="1" ht="30" hidden="1" customHeight="1" outlineLevel="2">
      <c r="A441" s="779"/>
      <c r="B441" s="1132"/>
      <c r="C441" s="1133"/>
      <c r="D441" s="788"/>
      <c r="E441" s="789"/>
      <c r="F441" s="786"/>
      <c r="G441" s="786"/>
      <c r="H441" s="786"/>
      <c r="I441" s="786"/>
    </row>
    <row r="442" spans="1:9" s="790" customFormat="1" ht="28.5" hidden="1" customHeight="1" outlineLevel="2">
      <c r="A442" s="779"/>
      <c r="B442" s="1132"/>
      <c r="C442" s="1133"/>
      <c r="D442" s="788"/>
      <c r="E442" s="789"/>
      <c r="F442" s="786"/>
      <c r="G442" s="786"/>
      <c r="H442" s="786"/>
      <c r="I442" s="786"/>
    </row>
    <row r="443" spans="1:9" s="790" customFormat="1" ht="28.5" hidden="1" customHeight="1" outlineLevel="2">
      <c r="A443" s="779"/>
      <c r="B443" s="1132"/>
      <c r="C443" s="1133"/>
      <c r="D443" s="788"/>
      <c r="E443" s="789"/>
      <c r="F443" s="786"/>
      <c r="G443" s="786"/>
      <c r="H443" s="786"/>
      <c r="I443" s="786"/>
    </row>
    <row r="444" spans="1:9" s="790" customFormat="1" ht="15" hidden="1" outlineLevel="2">
      <c r="A444" s="791"/>
      <c r="B444" s="1137"/>
      <c r="C444" s="1138"/>
      <c r="D444" s="799"/>
      <c r="E444" s="800"/>
      <c r="F444" s="793"/>
      <c r="G444" s="793"/>
      <c r="H444" s="793"/>
      <c r="I444" s="793"/>
    </row>
    <row r="445" spans="1:9" s="770" customFormat="1" ht="15.75" customHeight="1" outlineLevel="2">
      <c r="A445" s="771"/>
      <c r="B445" s="772" t="s">
        <v>720</v>
      </c>
      <c r="C445" s="773" t="s">
        <v>530</v>
      </c>
      <c r="D445" s="774">
        <v>2100200196</v>
      </c>
      <c r="E445" s="775">
        <f>SUM(E446:E459)</f>
        <v>38020</v>
      </c>
      <c r="F445" s="776">
        <f>+[28]เรียงตามเขต!H40</f>
        <v>0</v>
      </c>
      <c r="G445" s="776">
        <f>+[28]เรียงตามเขต!I40</f>
        <v>0</v>
      </c>
      <c r="H445" s="776">
        <f>E445-F445-G445</f>
        <v>38020</v>
      </c>
      <c r="I445" s="776">
        <v>0</v>
      </c>
    </row>
    <row r="446" spans="1:9" s="783" customFormat="1" ht="47.25" customHeight="1" outlineLevel="2">
      <c r="A446" s="779"/>
      <c r="B446" s="1132" t="s">
        <v>819</v>
      </c>
      <c r="C446" s="1133"/>
      <c r="D446" s="780"/>
      <c r="E446" s="781">
        <f>+[28]เรียงตามเขต!G40</f>
        <v>38020</v>
      </c>
      <c r="F446" s="782">
        <f>+[28]เรียงตามเขต!H40</f>
        <v>0</v>
      </c>
      <c r="G446" s="782">
        <f>+[28]เรียงตามเขต!I40</f>
        <v>0</v>
      </c>
      <c r="H446" s="782"/>
      <c r="I446" s="782"/>
    </row>
    <row r="447" spans="1:9" s="783" customFormat="1" ht="15" hidden="1" outlineLevel="2">
      <c r="A447" s="779"/>
      <c r="B447" s="1132"/>
      <c r="C447" s="1133"/>
      <c r="D447" s="780"/>
      <c r="E447" s="781"/>
      <c r="F447" s="782"/>
      <c r="G447" s="782"/>
      <c r="H447" s="782"/>
      <c r="I447" s="782"/>
    </row>
    <row r="448" spans="1:9" s="783" customFormat="1" ht="18" hidden="1" customHeight="1" outlineLevel="2">
      <c r="A448" s="779"/>
      <c r="B448" s="1132"/>
      <c r="C448" s="1133"/>
      <c r="D448" s="780"/>
      <c r="E448" s="781"/>
      <c r="F448" s="782"/>
      <c r="G448" s="782"/>
      <c r="H448" s="782"/>
      <c r="I448" s="782"/>
    </row>
    <row r="449" spans="1:9" s="783" customFormat="1" ht="18" hidden="1" customHeight="1" outlineLevel="2">
      <c r="A449" s="779"/>
      <c r="B449" s="1132"/>
      <c r="C449" s="1133"/>
      <c r="D449" s="780"/>
      <c r="E449" s="781"/>
      <c r="F449" s="782"/>
      <c r="G449" s="782"/>
      <c r="H449" s="782"/>
      <c r="I449" s="782"/>
    </row>
    <row r="450" spans="1:9" s="787" customFormat="1" ht="18.75" hidden="1" customHeight="1" outlineLevel="2">
      <c r="A450" s="779"/>
      <c r="B450" s="1132"/>
      <c r="C450" s="1133"/>
      <c r="D450" s="784"/>
      <c r="E450" s="785"/>
      <c r="F450" s="786"/>
      <c r="G450" s="786"/>
      <c r="H450" s="786"/>
      <c r="I450" s="786"/>
    </row>
    <row r="451" spans="1:9" s="787" customFormat="1" ht="48.75" hidden="1" customHeight="1" outlineLevel="2">
      <c r="A451" s="779"/>
      <c r="B451" s="1132"/>
      <c r="C451" s="1133"/>
      <c r="D451" s="784"/>
      <c r="E451" s="785"/>
      <c r="F451" s="786"/>
      <c r="G451" s="786"/>
      <c r="H451" s="786"/>
      <c r="I451" s="786"/>
    </row>
    <row r="452" spans="1:9" s="787" customFormat="1" ht="33" hidden="1" customHeight="1" outlineLevel="2">
      <c r="A452" s="779"/>
      <c r="B452" s="1132"/>
      <c r="C452" s="1133"/>
      <c r="D452" s="784"/>
      <c r="E452" s="785"/>
      <c r="F452" s="786"/>
      <c r="G452" s="786"/>
      <c r="H452" s="786"/>
      <c r="I452" s="786"/>
    </row>
    <row r="453" spans="1:9" s="787" customFormat="1" ht="33" hidden="1" customHeight="1" outlineLevel="2">
      <c r="A453" s="779"/>
      <c r="B453" s="1132"/>
      <c r="C453" s="1133"/>
      <c r="D453" s="784"/>
      <c r="E453" s="785"/>
      <c r="F453" s="786"/>
      <c r="G453" s="786"/>
      <c r="H453" s="786"/>
      <c r="I453" s="786"/>
    </row>
    <row r="454" spans="1:9" s="790" customFormat="1" ht="36" hidden="1" customHeight="1" outlineLevel="2">
      <c r="A454" s="779"/>
      <c r="B454" s="1132"/>
      <c r="C454" s="1133"/>
      <c r="D454" s="788"/>
      <c r="E454" s="789"/>
      <c r="F454" s="786"/>
      <c r="G454" s="786"/>
      <c r="H454" s="786"/>
      <c r="I454" s="786"/>
    </row>
    <row r="455" spans="1:9" s="790" customFormat="1" ht="15" hidden="1" outlineLevel="2">
      <c r="A455" s="779"/>
      <c r="B455" s="1132"/>
      <c r="C455" s="1133"/>
      <c r="D455" s="788"/>
      <c r="E455" s="789"/>
      <c r="F455" s="786"/>
      <c r="G455" s="786"/>
      <c r="H455" s="786"/>
      <c r="I455" s="786"/>
    </row>
    <row r="456" spans="1:9" s="790" customFormat="1" ht="30" hidden="1" customHeight="1" outlineLevel="2">
      <c r="A456" s="779"/>
      <c r="B456" s="1132"/>
      <c r="C456" s="1133"/>
      <c r="D456" s="788"/>
      <c r="E456" s="789"/>
      <c r="F456" s="786"/>
      <c r="G456" s="786"/>
      <c r="H456" s="786"/>
      <c r="I456" s="786"/>
    </row>
    <row r="457" spans="1:9" s="790" customFormat="1" ht="30.75" hidden="1" customHeight="1" outlineLevel="2">
      <c r="A457" s="779"/>
      <c r="B457" s="1132"/>
      <c r="C457" s="1133"/>
      <c r="D457" s="788"/>
      <c r="E457" s="789"/>
      <c r="F457" s="786"/>
      <c r="G457" s="786"/>
      <c r="H457" s="786"/>
      <c r="I457" s="786"/>
    </row>
    <row r="458" spans="1:9" s="790" customFormat="1" ht="28.5" hidden="1" customHeight="1" outlineLevel="2">
      <c r="A458" s="779"/>
      <c r="B458" s="1132"/>
      <c r="C458" s="1133"/>
      <c r="D458" s="788"/>
      <c r="E458" s="789"/>
      <c r="F458" s="786"/>
      <c r="G458" s="786"/>
      <c r="H458" s="786"/>
      <c r="I458" s="786"/>
    </row>
    <row r="459" spans="1:9" s="790" customFormat="1" ht="15" hidden="1" outlineLevel="2">
      <c r="A459" s="791"/>
      <c r="B459" s="1137"/>
      <c r="C459" s="1138"/>
      <c r="D459" s="799"/>
      <c r="E459" s="800"/>
      <c r="F459" s="793"/>
      <c r="G459" s="793"/>
      <c r="H459" s="793"/>
      <c r="I459" s="793"/>
    </row>
    <row r="460" spans="1:9" s="770" customFormat="1" ht="15" hidden="1" outlineLevel="2">
      <c r="A460" s="771"/>
      <c r="B460" s="772" t="s">
        <v>736</v>
      </c>
      <c r="C460" s="773" t="s">
        <v>532</v>
      </c>
      <c r="D460" s="774">
        <v>2100200199</v>
      </c>
      <c r="E460" s="775">
        <f>SUM(E461:E475)</f>
        <v>0</v>
      </c>
      <c r="F460" s="776">
        <f>+[28]เรียงตามเขต!H41</f>
        <v>0</v>
      </c>
      <c r="G460" s="776">
        <f>+[28]เรียงตามเขต!I41</f>
        <v>0</v>
      </c>
      <c r="H460" s="776">
        <f>E460-F460-G460</f>
        <v>0</v>
      </c>
      <c r="I460" s="776">
        <v>0</v>
      </c>
    </row>
    <row r="461" spans="1:9" s="783" customFormat="1" ht="47.25" hidden="1" customHeight="1" outlineLevel="2">
      <c r="A461" s="779"/>
      <c r="B461" s="1132"/>
      <c r="C461" s="1133"/>
      <c r="D461" s="780"/>
      <c r="E461" s="781"/>
      <c r="F461" s="782"/>
      <c r="G461" s="782"/>
      <c r="H461" s="782"/>
      <c r="I461" s="782"/>
    </row>
    <row r="462" spans="1:9" s="783" customFormat="1" ht="15" hidden="1" outlineLevel="2">
      <c r="A462" s="779"/>
      <c r="B462" s="1132"/>
      <c r="C462" s="1133"/>
      <c r="D462" s="780"/>
      <c r="E462" s="781"/>
      <c r="F462" s="782"/>
      <c r="G462" s="782"/>
      <c r="H462" s="782"/>
      <c r="I462" s="782"/>
    </row>
    <row r="463" spans="1:9" s="783" customFormat="1" ht="18" hidden="1" customHeight="1" outlineLevel="2">
      <c r="A463" s="779"/>
      <c r="B463" s="1132"/>
      <c r="C463" s="1133"/>
      <c r="D463" s="780"/>
      <c r="E463" s="781"/>
      <c r="F463" s="782"/>
      <c r="G463" s="782"/>
      <c r="H463" s="782"/>
      <c r="I463" s="782"/>
    </row>
    <row r="464" spans="1:9" s="783" customFormat="1" ht="18" hidden="1" customHeight="1" outlineLevel="2">
      <c r="A464" s="779"/>
      <c r="B464" s="1132"/>
      <c r="C464" s="1133"/>
      <c r="D464" s="780"/>
      <c r="E464" s="781"/>
      <c r="F464" s="782"/>
      <c r="G464" s="782"/>
      <c r="H464" s="782"/>
      <c r="I464" s="782"/>
    </row>
    <row r="465" spans="1:9" s="787" customFormat="1" ht="18.75" hidden="1" customHeight="1" outlineLevel="2">
      <c r="A465" s="779"/>
      <c r="B465" s="1132"/>
      <c r="C465" s="1133"/>
      <c r="D465" s="784"/>
      <c r="E465" s="785"/>
      <c r="F465" s="786"/>
      <c r="G465" s="786"/>
      <c r="H465" s="786"/>
      <c r="I465" s="786"/>
    </row>
    <row r="466" spans="1:9" s="787" customFormat="1" ht="48.75" hidden="1" customHeight="1" outlineLevel="2">
      <c r="A466" s="779"/>
      <c r="B466" s="1132"/>
      <c r="C466" s="1133"/>
      <c r="D466" s="784"/>
      <c r="E466" s="785"/>
      <c r="F466" s="786"/>
      <c r="G466" s="786"/>
      <c r="H466" s="786"/>
      <c r="I466" s="786"/>
    </row>
    <row r="467" spans="1:9" s="787" customFormat="1" ht="33" hidden="1" customHeight="1" outlineLevel="2">
      <c r="A467" s="779"/>
      <c r="B467" s="1132"/>
      <c r="C467" s="1133"/>
      <c r="D467" s="784"/>
      <c r="E467" s="785"/>
      <c r="F467" s="786"/>
      <c r="G467" s="786"/>
      <c r="H467" s="786"/>
      <c r="I467" s="786"/>
    </row>
    <row r="468" spans="1:9" s="787" customFormat="1" ht="33" hidden="1" customHeight="1" outlineLevel="2">
      <c r="A468" s="779"/>
      <c r="B468" s="1132"/>
      <c r="C468" s="1133"/>
      <c r="D468" s="784"/>
      <c r="E468" s="785"/>
      <c r="F468" s="786"/>
      <c r="G468" s="786"/>
      <c r="H468" s="786"/>
      <c r="I468" s="786"/>
    </row>
    <row r="469" spans="1:9" s="787" customFormat="1" ht="33" hidden="1" customHeight="1" outlineLevel="2">
      <c r="A469" s="779"/>
      <c r="B469" s="1132"/>
      <c r="C469" s="1133"/>
      <c r="D469" s="784"/>
      <c r="E469" s="785"/>
      <c r="F469" s="786"/>
      <c r="G469" s="786"/>
      <c r="H469" s="786"/>
      <c r="I469" s="786"/>
    </row>
    <row r="470" spans="1:9" s="790" customFormat="1" ht="36" hidden="1" customHeight="1" outlineLevel="2">
      <c r="A470" s="779"/>
      <c r="B470" s="1132"/>
      <c r="C470" s="1133"/>
      <c r="D470" s="788"/>
      <c r="E470" s="789"/>
      <c r="F470" s="786"/>
      <c r="G470" s="786"/>
      <c r="H470" s="786"/>
      <c r="I470" s="786"/>
    </row>
    <row r="471" spans="1:9" s="790" customFormat="1" ht="15" hidden="1" outlineLevel="2">
      <c r="A471" s="779"/>
      <c r="B471" s="1132"/>
      <c r="C471" s="1133"/>
      <c r="D471" s="788"/>
      <c r="E471" s="789"/>
      <c r="F471" s="786"/>
      <c r="G471" s="786"/>
      <c r="H471" s="786"/>
      <c r="I471" s="786"/>
    </row>
    <row r="472" spans="1:9" s="790" customFormat="1" ht="30" hidden="1" customHeight="1" outlineLevel="2">
      <c r="A472" s="779"/>
      <c r="B472" s="1132"/>
      <c r="C472" s="1133"/>
      <c r="D472" s="788"/>
      <c r="E472" s="789"/>
      <c r="F472" s="786"/>
      <c r="G472" s="786"/>
      <c r="H472" s="786"/>
      <c r="I472" s="786"/>
    </row>
    <row r="473" spans="1:9" s="790" customFormat="1" ht="28.5" hidden="1" customHeight="1" outlineLevel="2">
      <c r="A473" s="779"/>
      <c r="B473" s="1132"/>
      <c r="C473" s="1133"/>
      <c r="D473" s="788"/>
      <c r="E473" s="789"/>
      <c r="F473" s="786"/>
      <c r="G473" s="786"/>
      <c r="H473" s="786"/>
      <c r="I473" s="786"/>
    </row>
    <row r="474" spans="1:9" s="790" customFormat="1" ht="28.5" hidden="1" customHeight="1" outlineLevel="2">
      <c r="A474" s="779"/>
      <c r="B474" s="1132"/>
      <c r="C474" s="1133"/>
      <c r="D474" s="788"/>
      <c r="E474" s="789"/>
      <c r="F474" s="786"/>
      <c r="G474" s="786"/>
      <c r="H474" s="786"/>
      <c r="I474" s="786"/>
    </row>
    <row r="475" spans="1:9" s="790" customFormat="1" ht="15" hidden="1" outlineLevel="2">
      <c r="A475" s="791"/>
      <c r="B475" s="1137"/>
      <c r="C475" s="1138"/>
      <c r="D475" s="799"/>
      <c r="E475" s="800"/>
      <c r="F475" s="793"/>
      <c r="G475" s="793"/>
      <c r="H475" s="793"/>
      <c r="I475" s="793"/>
    </row>
    <row r="476" spans="1:9" s="816" customFormat="1" ht="15" hidden="1" outlineLevel="2">
      <c r="A476" s="771"/>
      <c r="B476" s="772" t="s">
        <v>737</v>
      </c>
      <c r="C476" s="773" t="s">
        <v>534</v>
      </c>
      <c r="D476" s="774">
        <v>2100200202</v>
      </c>
      <c r="E476" s="775">
        <f>SUM(E477:E490)</f>
        <v>0</v>
      </c>
      <c r="F476" s="776">
        <f>+[28]เรียงตามเขต!H42</f>
        <v>0</v>
      </c>
      <c r="G476" s="776">
        <f>+[28]เรียงตามเขต!I42</f>
        <v>0</v>
      </c>
      <c r="H476" s="776">
        <f>E476-F476-G476</f>
        <v>0</v>
      </c>
      <c r="I476" s="776">
        <v>0</v>
      </c>
    </row>
    <row r="477" spans="1:9" s="783" customFormat="1" ht="47.25" hidden="1" customHeight="1" outlineLevel="2">
      <c r="A477" s="779"/>
      <c r="B477" s="1132"/>
      <c r="C477" s="1133"/>
      <c r="D477" s="780"/>
      <c r="E477" s="781"/>
      <c r="F477" s="782"/>
      <c r="G477" s="782"/>
      <c r="H477" s="782"/>
      <c r="I477" s="782"/>
    </row>
    <row r="478" spans="1:9" s="783" customFormat="1" ht="15" hidden="1" outlineLevel="2">
      <c r="A478" s="779"/>
      <c r="B478" s="1132"/>
      <c r="C478" s="1133"/>
      <c r="D478" s="780"/>
      <c r="E478" s="781"/>
      <c r="F478" s="782"/>
      <c r="G478" s="782"/>
      <c r="H478" s="782"/>
      <c r="I478" s="782"/>
    </row>
    <row r="479" spans="1:9" s="783" customFormat="1" ht="18" hidden="1" customHeight="1" outlineLevel="2">
      <c r="A479" s="779"/>
      <c r="B479" s="1132"/>
      <c r="C479" s="1133"/>
      <c r="D479" s="780"/>
      <c r="E479" s="781"/>
      <c r="F479" s="782"/>
      <c r="G479" s="782"/>
      <c r="H479" s="782"/>
      <c r="I479" s="782"/>
    </row>
    <row r="480" spans="1:9" s="783" customFormat="1" ht="18" hidden="1" customHeight="1" outlineLevel="2">
      <c r="A480" s="779"/>
      <c r="B480" s="1132"/>
      <c r="C480" s="1133"/>
      <c r="D480" s="780"/>
      <c r="E480" s="781"/>
      <c r="F480" s="782"/>
      <c r="G480" s="782"/>
      <c r="H480" s="782"/>
      <c r="I480" s="782"/>
    </row>
    <row r="481" spans="1:9" s="787" customFormat="1" ht="18.75" hidden="1" customHeight="1" outlineLevel="2">
      <c r="A481" s="779"/>
      <c r="B481" s="1132"/>
      <c r="C481" s="1133"/>
      <c r="D481" s="784"/>
      <c r="E481" s="785"/>
      <c r="F481" s="786"/>
      <c r="G481" s="786"/>
      <c r="H481" s="786"/>
      <c r="I481" s="786"/>
    </row>
    <row r="482" spans="1:9" s="787" customFormat="1" ht="48.75" hidden="1" customHeight="1" outlineLevel="2">
      <c r="A482" s="779"/>
      <c r="B482" s="1132"/>
      <c r="C482" s="1133"/>
      <c r="D482" s="784"/>
      <c r="E482" s="785"/>
      <c r="F482" s="786"/>
      <c r="G482" s="786"/>
      <c r="H482" s="786"/>
      <c r="I482" s="786"/>
    </row>
    <row r="483" spans="1:9" s="787" customFormat="1" ht="33" hidden="1" customHeight="1" outlineLevel="2">
      <c r="A483" s="779"/>
      <c r="B483" s="1132"/>
      <c r="C483" s="1133"/>
      <c r="D483" s="784"/>
      <c r="E483" s="785"/>
      <c r="F483" s="786"/>
      <c r="G483" s="786"/>
      <c r="H483" s="786"/>
      <c r="I483" s="786"/>
    </row>
    <row r="484" spans="1:9" s="787" customFormat="1" ht="33" hidden="1" customHeight="1" outlineLevel="2">
      <c r="A484" s="779"/>
      <c r="B484" s="1132"/>
      <c r="C484" s="1133"/>
      <c r="D484" s="784"/>
      <c r="E484" s="785"/>
      <c r="F484" s="786"/>
      <c r="G484" s="786"/>
      <c r="H484" s="786"/>
      <c r="I484" s="786"/>
    </row>
    <row r="485" spans="1:9" s="790" customFormat="1" ht="36" hidden="1" customHeight="1" outlineLevel="2">
      <c r="A485" s="779"/>
      <c r="B485" s="1132"/>
      <c r="C485" s="1133"/>
      <c r="D485" s="788"/>
      <c r="E485" s="789"/>
      <c r="F485" s="786"/>
      <c r="G485" s="786"/>
      <c r="H485" s="786"/>
      <c r="I485" s="786"/>
    </row>
    <row r="486" spans="1:9" s="790" customFormat="1" ht="15" hidden="1" outlineLevel="2">
      <c r="A486" s="779"/>
      <c r="B486" s="1132"/>
      <c r="C486" s="1133"/>
      <c r="D486" s="788"/>
      <c r="E486" s="789"/>
      <c r="F486" s="786"/>
      <c r="G486" s="786"/>
      <c r="H486" s="786"/>
      <c r="I486" s="786"/>
    </row>
    <row r="487" spans="1:9" s="790" customFormat="1" ht="30" hidden="1" customHeight="1" outlineLevel="2">
      <c r="A487" s="779"/>
      <c r="B487" s="1132"/>
      <c r="C487" s="1133"/>
      <c r="D487" s="788"/>
      <c r="E487" s="789"/>
      <c r="F487" s="786"/>
      <c r="G487" s="786"/>
      <c r="H487" s="786"/>
      <c r="I487" s="786"/>
    </row>
    <row r="488" spans="1:9" s="790" customFormat="1" ht="28.5" hidden="1" customHeight="1" outlineLevel="2">
      <c r="A488" s="779"/>
      <c r="B488" s="1132"/>
      <c r="C488" s="1133"/>
      <c r="D488" s="788"/>
      <c r="E488" s="789"/>
      <c r="F488" s="786"/>
      <c r="G488" s="786"/>
      <c r="H488" s="786"/>
      <c r="I488" s="786"/>
    </row>
    <row r="489" spans="1:9" s="790" customFormat="1" ht="28.5" hidden="1" customHeight="1" outlineLevel="2">
      <c r="A489" s="779"/>
      <c r="B489" s="1132"/>
      <c r="C489" s="1133"/>
      <c r="D489" s="788"/>
      <c r="E489" s="789"/>
      <c r="F489" s="786"/>
      <c r="G489" s="786"/>
      <c r="H489" s="786"/>
      <c r="I489" s="786"/>
    </row>
    <row r="490" spans="1:9" s="804" customFormat="1" ht="15" hidden="1" outlineLevel="2">
      <c r="A490" s="801"/>
      <c r="B490" s="1139"/>
      <c r="C490" s="1140"/>
      <c r="D490" s="802"/>
      <c r="E490" s="792"/>
      <c r="F490" s="803"/>
      <c r="G490" s="803"/>
      <c r="H490" s="803"/>
      <c r="I490" s="803"/>
    </row>
    <row r="491" spans="1:9" s="770" customFormat="1" ht="15" outlineLevel="2">
      <c r="A491" s="771"/>
      <c r="B491" s="772" t="s">
        <v>721</v>
      </c>
      <c r="C491" s="773" t="s">
        <v>536</v>
      </c>
      <c r="D491" s="774">
        <v>2100200204</v>
      </c>
      <c r="E491" s="775">
        <f>SUM(E492:E505)</f>
        <v>92500</v>
      </c>
      <c r="F491" s="776">
        <f>+[28]เรียงตามเขต!H43</f>
        <v>0</v>
      </c>
      <c r="G491" s="776">
        <f>+[28]เรียงตามเขต!I43</f>
        <v>0</v>
      </c>
      <c r="H491" s="776">
        <f>E491-F491-G491</f>
        <v>92500</v>
      </c>
      <c r="I491" s="776">
        <v>0</v>
      </c>
    </row>
    <row r="492" spans="1:9" s="783" customFormat="1" ht="47.25" customHeight="1" outlineLevel="2">
      <c r="A492" s="779"/>
      <c r="B492" s="1132" t="s">
        <v>819</v>
      </c>
      <c r="C492" s="1133"/>
      <c r="D492" s="780"/>
      <c r="E492" s="781">
        <f>+[28]เรียงตามเขต!G43</f>
        <v>92500</v>
      </c>
      <c r="F492" s="782">
        <f>+[28]เรียงตามเขต!H43</f>
        <v>0</v>
      </c>
      <c r="G492" s="782">
        <f>+[28]เรียงตามเขต!I43</f>
        <v>0</v>
      </c>
      <c r="H492" s="782"/>
      <c r="I492" s="782"/>
    </row>
    <row r="493" spans="1:9" s="783" customFormat="1" ht="15" hidden="1" outlineLevel="2">
      <c r="A493" s="779"/>
      <c r="B493" s="1132"/>
      <c r="C493" s="1133"/>
      <c r="D493" s="780"/>
      <c r="E493" s="781"/>
      <c r="F493" s="782"/>
      <c r="G493" s="782"/>
      <c r="H493" s="782"/>
      <c r="I493" s="782"/>
    </row>
    <row r="494" spans="1:9" s="783" customFormat="1" ht="18" hidden="1" customHeight="1" outlineLevel="2">
      <c r="A494" s="779"/>
      <c r="B494" s="1132"/>
      <c r="C494" s="1133"/>
      <c r="D494" s="780"/>
      <c r="E494" s="781"/>
      <c r="F494" s="782"/>
      <c r="G494" s="782"/>
      <c r="H494" s="782"/>
      <c r="I494" s="782"/>
    </row>
    <row r="495" spans="1:9" s="783" customFormat="1" ht="18" hidden="1" customHeight="1" outlineLevel="2">
      <c r="A495" s="779"/>
      <c r="B495" s="1132"/>
      <c r="C495" s="1133"/>
      <c r="D495" s="780"/>
      <c r="E495" s="781"/>
      <c r="F495" s="782"/>
      <c r="G495" s="782"/>
      <c r="H495" s="782"/>
      <c r="I495" s="782"/>
    </row>
    <row r="496" spans="1:9" s="787" customFormat="1" ht="18.75" hidden="1" customHeight="1" outlineLevel="2">
      <c r="A496" s="779"/>
      <c r="B496" s="1132"/>
      <c r="C496" s="1133"/>
      <c r="D496" s="784"/>
      <c r="E496" s="785"/>
      <c r="F496" s="786"/>
      <c r="G496" s="786"/>
      <c r="H496" s="786"/>
      <c r="I496" s="786"/>
    </row>
    <row r="497" spans="1:9" s="787" customFormat="1" ht="48.75" hidden="1" customHeight="1" outlineLevel="2">
      <c r="A497" s="779"/>
      <c r="B497" s="1132"/>
      <c r="C497" s="1133"/>
      <c r="D497" s="784"/>
      <c r="E497" s="785"/>
      <c r="F497" s="786"/>
      <c r="G497" s="786"/>
      <c r="H497" s="786"/>
      <c r="I497" s="786"/>
    </row>
    <row r="498" spans="1:9" s="787" customFormat="1" ht="33" hidden="1" customHeight="1" outlineLevel="2">
      <c r="A498" s="779"/>
      <c r="B498" s="1132"/>
      <c r="C498" s="1133"/>
      <c r="D498" s="784"/>
      <c r="E498" s="785"/>
      <c r="F498" s="786"/>
      <c r="G498" s="786"/>
      <c r="H498" s="786"/>
      <c r="I498" s="786"/>
    </row>
    <row r="499" spans="1:9" s="787" customFormat="1" ht="33" hidden="1" customHeight="1" outlineLevel="2">
      <c r="A499" s="791"/>
      <c r="B499" s="1137"/>
      <c r="C499" s="1138"/>
      <c r="D499" s="799"/>
      <c r="E499" s="800"/>
      <c r="F499" s="793"/>
      <c r="G499" s="793"/>
      <c r="H499" s="793"/>
      <c r="I499" s="793"/>
    </row>
    <row r="500" spans="1:9" s="790" customFormat="1" ht="36" hidden="1" customHeight="1" outlineLevel="2">
      <c r="A500" s="818"/>
      <c r="B500" s="1143"/>
      <c r="C500" s="1144"/>
      <c r="D500" s="819"/>
      <c r="E500" s="820"/>
      <c r="F500" s="821"/>
      <c r="G500" s="821"/>
      <c r="H500" s="821"/>
      <c r="I500" s="821"/>
    </row>
    <row r="501" spans="1:9" s="790" customFormat="1" ht="15" hidden="1" outlineLevel="2">
      <c r="A501" s="779"/>
      <c r="B501" s="1132"/>
      <c r="C501" s="1133"/>
      <c r="D501" s="788"/>
      <c r="E501" s="789"/>
      <c r="F501" s="786"/>
      <c r="G501" s="786"/>
      <c r="H501" s="786"/>
      <c r="I501" s="786"/>
    </row>
    <row r="502" spans="1:9" s="790" customFormat="1" ht="30" hidden="1" customHeight="1" outlineLevel="2">
      <c r="A502" s="779"/>
      <c r="B502" s="1132"/>
      <c r="C502" s="1133"/>
      <c r="D502" s="788"/>
      <c r="E502" s="789"/>
      <c r="F502" s="786"/>
      <c r="G502" s="786"/>
      <c r="H502" s="786"/>
      <c r="I502" s="786"/>
    </row>
    <row r="503" spans="1:9" s="790" customFormat="1" ht="28.5" hidden="1" customHeight="1" outlineLevel="2">
      <c r="A503" s="779"/>
      <c r="B503" s="1132"/>
      <c r="C503" s="1133"/>
      <c r="D503" s="788"/>
      <c r="E503" s="789"/>
      <c r="F503" s="786"/>
      <c r="G503" s="786"/>
      <c r="H503" s="786"/>
      <c r="I503" s="786"/>
    </row>
    <row r="504" spans="1:9" s="790" customFormat="1" ht="28.5" hidden="1" customHeight="1" outlineLevel="2">
      <c r="A504" s="779"/>
      <c r="B504" s="1132"/>
      <c r="C504" s="1133"/>
      <c r="D504" s="788"/>
      <c r="E504" s="789"/>
      <c r="F504" s="786"/>
      <c r="G504" s="786"/>
      <c r="H504" s="786"/>
      <c r="I504" s="786"/>
    </row>
    <row r="505" spans="1:9" s="804" customFormat="1" ht="15" hidden="1" outlineLevel="2">
      <c r="A505" s="801"/>
      <c r="B505" s="1139"/>
      <c r="C505" s="1140"/>
      <c r="D505" s="802"/>
      <c r="E505" s="792"/>
      <c r="F505" s="803"/>
      <c r="G505" s="803"/>
      <c r="H505" s="803"/>
      <c r="I505" s="803"/>
    </row>
    <row r="506" spans="1:9" s="770" customFormat="1" ht="15" hidden="1" outlineLevel="2">
      <c r="A506" s="771"/>
      <c r="B506" s="772" t="s">
        <v>739</v>
      </c>
      <c r="C506" s="773" t="s">
        <v>538</v>
      </c>
      <c r="D506" s="774">
        <v>2100200206</v>
      </c>
      <c r="E506" s="775">
        <f>SUM(E507:E521)</f>
        <v>0</v>
      </c>
      <c r="F506" s="776">
        <f>+[28]เรียงตามเขต!H44</f>
        <v>0</v>
      </c>
      <c r="G506" s="776">
        <f>+[28]เรียงตามเขต!I44</f>
        <v>0</v>
      </c>
      <c r="H506" s="776">
        <f>E506-F506-G506</f>
        <v>0</v>
      </c>
      <c r="I506" s="776">
        <v>0</v>
      </c>
    </row>
    <row r="507" spans="1:9" s="783" customFormat="1" ht="47.25" hidden="1" customHeight="1" outlineLevel="2">
      <c r="A507" s="779"/>
      <c r="B507" s="1132"/>
      <c r="C507" s="1133"/>
      <c r="D507" s="780"/>
      <c r="E507" s="781"/>
      <c r="F507" s="782"/>
      <c r="G507" s="782"/>
      <c r="H507" s="782"/>
      <c r="I507" s="782"/>
    </row>
    <row r="508" spans="1:9" s="783" customFormat="1" ht="15" hidden="1" outlineLevel="2">
      <c r="A508" s="779"/>
      <c r="B508" s="1132"/>
      <c r="C508" s="1133"/>
      <c r="D508" s="780"/>
      <c r="E508" s="781"/>
      <c r="F508" s="782"/>
      <c r="G508" s="782"/>
      <c r="H508" s="782"/>
      <c r="I508" s="782"/>
    </row>
    <row r="509" spans="1:9" s="783" customFormat="1" ht="18" hidden="1" customHeight="1" outlineLevel="2">
      <c r="A509" s="779"/>
      <c r="B509" s="1132"/>
      <c r="C509" s="1133"/>
      <c r="D509" s="780"/>
      <c r="E509" s="781"/>
      <c r="F509" s="782"/>
      <c r="G509" s="782"/>
      <c r="H509" s="782"/>
      <c r="I509" s="782"/>
    </row>
    <row r="510" spans="1:9" s="783" customFormat="1" ht="18" hidden="1" customHeight="1" outlineLevel="2">
      <c r="A510" s="779"/>
      <c r="B510" s="1132"/>
      <c r="C510" s="1133"/>
      <c r="D510" s="780"/>
      <c r="E510" s="781"/>
      <c r="F510" s="782"/>
      <c r="G510" s="782"/>
      <c r="H510" s="782"/>
      <c r="I510" s="782"/>
    </row>
    <row r="511" spans="1:9" s="787" customFormat="1" ht="15" hidden="1" outlineLevel="2">
      <c r="A511" s="779"/>
      <c r="B511" s="1132"/>
      <c r="C511" s="1133"/>
      <c r="D511" s="784"/>
      <c r="E511" s="785"/>
      <c r="F511" s="786"/>
      <c r="G511" s="786"/>
      <c r="H511" s="786"/>
      <c r="I511" s="786"/>
    </row>
    <row r="512" spans="1:9" s="787" customFormat="1" ht="48.75" hidden="1" customHeight="1" outlineLevel="2">
      <c r="A512" s="779"/>
      <c r="B512" s="1132"/>
      <c r="C512" s="1133"/>
      <c r="D512" s="784"/>
      <c r="E512" s="785"/>
      <c r="F512" s="786"/>
      <c r="G512" s="786"/>
      <c r="H512" s="786"/>
      <c r="I512" s="786"/>
    </row>
    <row r="513" spans="1:9" s="787" customFormat="1" ht="33" hidden="1" customHeight="1" outlineLevel="2">
      <c r="A513" s="779"/>
      <c r="B513" s="1132"/>
      <c r="C513" s="1133"/>
      <c r="D513" s="784"/>
      <c r="E513" s="785"/>
      <c r="F513" s="786"/>
      <c r="G513" s="786"/>
      <c r="H513" s="786"/>
      <c r="I513" s="786"/>
    </row>
    <row r="514" spans="1:9" s="787" customFormat="1" ht="33" hidden="1" customHeight="1" outlineLevel="2">
      <c r="A514" s="779"/>
      <c r="B514" s="1132"/>
      <c r="C514" s="1133"/>
      <c r="D514" s="784"/>
      <c r="E514" s="785"/>
      <c r="F514" s="786"/>
      <c r="G514" s="786"/>
      <c r="H514" s="786"/>
      <c r="I514" s="786"/>
    </row>
    <row r="515" spans="1:9" s="787" customFormat="1" ht="30.75" hidden="1" customHeight="1" outlineLevel="2">
      <c r="A515" s="779"/>
      <c r="B515" s="1132"/>
      <c r="C515" s="1133"/>
      <c r="D515" s="784"/>
      <c r="E515" s="785"/>
      <c r="F515" s="786"/>
      <c r="G515" s="786"/>
      <c r="H515" s="786"/>
      <c r="I515" s="786"/>
    </row>
    <row r="516" spans="1:9" s="790" customFormat="1" ht="36" hidden="1" customHeight="1" outlineLevel="2">
      <c r="A516" s="779"/>
      <c r="B516" s="1132"/>
      <c r="C516" s="1133"/>
      <c r="D516" s="788"/>
      <c r="E516" s="789"/>
      <c r="F516" s="786"/>
      <c r="G516" s="786"/>
      <c r="H516" s="786"/>
      <c r="I516" s="786"/>
    </row>
    <row r="517" spans="1:9" s="790" customFormat="1" ht="15" hidden="1" outlineLevel="2">
      <c r="A517" s="779"/>
      <c r="B517" s="1132"/>
      <c r="C517" s="1133"/>
      <c r="D517" s="788"/>
      <c r="E517" s="789"/>
      <c r="F517" s="786"/>
      <c r="G517" s="786"/>
      <c r="H517" s="786"/>
      <c r="I517" s="786"/>
    </row>
    <row r="518" spans="1:9" s="790" customFormat="1" ht="30" hidden="1" customHeight="1" outlineLevel="2">
      <c r="A518" s="779"/>
      <c r="B518" s="1132"/>
      <c r="C518" s="1133"/>
      <c r="D518" s="788"/>
      <c r="E518" s="789"/>
      <c r="F518" s="786"/>
      <c r="G518" s="786"/>
      <c r="H518" s="786"/>
      <c r="I518" s="786"/>
    </row>
    <row r="519" spans="1:9" s="790" customFormat="1" ht="28.5" hidden="1" customHeight="1" outlineLevel="2">
      <c r="A519" s="779"/>
      <c r="B519" s="1132"/>
      <c r="C519" s="1133"/>
      <c r="D519" s="788"/>
      <c r="E519" s="789"/>
      <c r="F519" s="786"/>
      <c r="G519" s="786"/>
      <c r="H519" s="786"/>
      <c r="I519" s="786"/>
    </row>
    <row r="520" spans="1:9" s="790" customFormat="1" ht="28.5" hidden="1" customHeight="1" outlineLevel="2">
      <c r="A520" s="779"/>
      <c r="B520" s="1132"/>
      <c r="C520" s="1133"/>
      <c r="D520" s="788"/>
      <c r="E520" s="789"/>
      <c r="F520" s="786"/>
      <c r="G520" s="786"/>
      <c r="H520" s="786"/>
      <c r="I520" s="786"/>
    </row>
    <row r="521" spans="1:9" s="804" customFormat="1" ht="15" hidden="1" outlineLevel="2">
      <c r="A521" s="822"/>
      <c r="B521" s="1132"/>
      <c r="C521" s="1133"/>
      <c r="D521" s="788"/>
      <c r="E521" s="788"/>
      <c r="F521" s="823"/>
      <c r="G521" s="823"/>
      <c r="H521" s="823"/>
      <c r="I521" s="823"/>
    </row>
    <row r="522" spans="1:9" s="770" customFormat="1" ht="15" hidden="1" outlineLevel="2">
      <c r="A522" s="771"/>
      <c r="B522" s="772" t="s">
        <v>740</v>
      </c>
      <c r="C522" s="773" t="s">
        <v>540</v>
      </c>
      <c r="D522" s="774">
        <v>2100200219</v>
      </c>
      <c r="E522" s="775">
        <f>SUM(E523:E536)</f>
        <v>0</v>
      </c>
      <c r="F522" s="776">
        <f>+[28]เรียงตามเขต!H45</f>
        <v>0</v>
      </c>
      <c r="G522" s="776">
        <f>+[28]เรียงตามเขต!I45</f>
        <v>0</v>
      </c>
      <c r="H522" s="776">
        <f>E522-F522-G522</f>
        <v>0</v>
      </c>
      <c r="I522" s="776">
        <v>0</v>
      </c>
    </row>
    <row r="523" spans="1:9" s="783" customFormat="1" ht="47.25" hidden="1" customHeight="1" outlineLevel="2">
      <c r="A523" s="779"/>
      <c r="B523" s="1132"/>
      <c r="C523" s="1133"/>
      <c r="D523" s="780"/>
      <c r="E523" s="781"/>
      <c r="F523" s="782"/>
      <c r="G523" s="782"/>
      <c r="H523" s="782"/>
      <c r="I523" s="782"/>
    </row>
    <row r="524" spans="1:9" s="783" customFormat="1" ht="15" hidden="1" outlineLevel="2">
      <c r="A524" s="779"/>
      <c r="B524" s="1132"/>
      <c r="C524" s="1133"/>
      <c r="D524" s="780"/>
      <c r="E524" s="781"/>
      <c r="F524" s="782"/>
      <c r="G524" s="782"/>
      <c r="H524" s="782"/>
      <c r="I524" s="782"/>
    </row>
    <row r="525" spans="1:9" s="783" customFormat="1" ht="18" hidden="1" customHeight="1" outlineLevel="2">
      <c r="A525" s="779"/>
      <c r="B525" s="1132"/>
      <c r="C525" s="1133"/>
      <c r="D525" s="780"/>
      <c r="E525" s="781"/>
      <c r="F525" s="782"/>
      <c r="G525" s="782"/>
      <c r="H525" s="782"/>
      <c r="I525" s="782"/>
    </row>
    <row r="526" spans="1:9" s="783" customFormat="1" ht="18" hidden="1" customHeight="1" outlineLevel="2">
      <c r="A526" s="779"/>
      <c r="B526" s="1132"/>
      <c r="C526" s="1133"/>
      <c r="D526" s="780"/>
      <c r="E526" s="781"/>
      <c r="F526" s="782"/>
      <c r="G526" s="782"/>
      <c r="H526" s="782"/>
      <c r="I526" s="782"/>
    </row>
    <row r="527" spans="1:9" s="787" customFormat="1" ht="18.75" hidden="1" customHeight="1" outlineLevel="2">
      <c r="A527" s="779"/>
      <c r="B527" s="1132"/>
      <c r="C527" s="1133"/>
      <c r="D527" s="784"/>
      <c r="E527" s="785"/>
      <c r="F527" s="786"/>
      <c r="G527" s="786"/>
      <c r="H527" s="786"/>
      <c r="I527" s="786"/>
    </row>
    <row r="528" spans="1:9" s="787" customFormat="1" ht="48.75" hidden="1" customHeight="1" outlineLevel="2">
      <c r="A528" s="779"/>
      <c r="B528" s="1132"/>
      <c r="C528" s="1133"/>
      <c r="D528" s="784"/>
      <c r="E528" s="785"/>
      <c r="F528" s="786"/>
      <c r="G528" s="786"/>
      <c r="H528" s="786"/>
      <c r="I528" s="786"/>
    </row>
    <row r="529" spans="1:9" s="787" customFormat="1" ht="33" hidden="1" customHeight="1" outlineLevel="2">
      <c r="A529" s="779"/>
      <c r="B529" s="1132"/>
      <c r="C529" s="1133"/>
      <c r="D529" s="784"/>
      <c r="E529" s="785"/>
      <c r="F529" s="786"/>
      <c r="G529" s="786"/>
      <c r="H529" s="786"/>
      <c r="I529" s="786"/>
    </row>
    <row r="530" spans="1:9" s="787" customFormat="1" ht="33" hidden="1" customHeight="1" outlineLevel="2">
      <c r="A530" s="779"/>
      <c r="B530" s="1132"/>
      <c r="C530" s="1133"/>
      <c r="D530" s="784"/>
      <c r="E530" s="785"/>
      <c r="F530" s="786"/>
      <c r="G530" s="786"/>
      <c r="H530" s="786"/>
      <c r="I530" s="786"/>
    </row>
    <row r="531" spans="1:9" s="790" customFormat="1" ht="36" hidden="1" customHeight="1" outlineLevel="2">
      <c r="A531" s="779"/>
      <c r="B531" s="1132"/>
      <c r="C531" s="1133"/>
      <c r="D531" s="788"/>
      <c r="E531" s="789"/>
      <c r="F531" s="786"/>
      <c r="G531" s="786"/>
      <c r="H531" s="786"/>
      <c r="I531" s="786"/>
    </row>
    <row r="532" spans="1:9" s="790" customFormat="1" ht="15" hidden="1" outlineLevel="2">
      <c r="A532" s="779"/>
      <c r="B532" s="1132" t="s">
        <v>820</v>
      </c>
      <c r="C532" s="1133"/>
      <c r="D532" s="788"/>
      <c r="E532" s="789">
        <v>0</v>
      </c>
      <c r="F532" s="786"/>
      <c r="G532" s="786"/>
      <c r="H532" s="786"/>
      <c r="I532" s="786"/>
    </row>
    <row r="533" spans="1:9" s="790" customFormat="1" ht="30" hidden="1" customHeight="1" outlineLevel="2">
      <c r="A533" s="779"/>
      <c r="B533" s="1132" t="s">
        <v>821</v>
      </c>
      <c r="C533" s="1133"/>
      <c r="D533" s="788"/>
      <c r="E533" s="789">
        <v>0</v>
      </c>
      <c r="F533" s="786"/>
      <c r="G533" s="786"/>
      <c r="H533" s="786"/>
      <c r="I533" s="786"/>
    </row>
    <row r="534" spans="1:9" s="790" customFormat="1" ht="28.5" hidden="1" customHeight="1" outlineLevel="2">
      <c r="A534" s="779"/>
      <c r="B534" s="1132" t="s">
        <v>822</v>
      </c>
      <c r="C534" s="1133"/>
      <c r="D534" s="788"/>
      <c r="E534" s="789">
        <v>0</v>
      </c>
      <c r="F534" s="786"/>
      <c r="G534" s="786"/>
      <c r="H534" s="786"/>
      <c r="I534" s="786"/>
    </row>
    <row r="535" spans="1:9" s="790" customFormat="1" ht="28.5" hidden="1" customHeight="1" outlineLevel="2">
      <c r="A535" s="779"/>
      <c r="B535" s="1132" t="s">
        <v>823</v>
      </c>
      <c r="C535" s="1133"/>
      <c r="D535" s="788"/>
      <c r="E535" s="789">
        <v>0</v>
      </c>
      <c r="F535" s="786"/>
      <c r="G535" s="786"/>
      <c r="H535" s="786"/>
      <c r="I535" s="786"/>
    </row>
    <row r="536" spans="1:9" s="790" customFormat="1" ht="15" hidden="1" outlineLevel="2">
      <c r="A536" s="791"/>
      <c r="B536" s="1137"/>
      <c r="C536" s="1138"/>
      <c r="D536" s="799"/>
      <c r="E536" s="800"/>
      <c r="F536" s="793"/>
      <c r="G536" s="793"/>
      <c r="H536" s="793"/>
      <c r="I536" s="793"/>
    </row>
    <row r="537" spans="1:9" s="770" customFormat="1" ht="15" hidden="1" outlineLevel="2">
      <c r="A537" s="771"/>
      <c r="B537" s="772" t="s">
        <v>741</v>
      </c>
      <c r="C537" s="773" t="s">
        <v>542</v>
      </c>
      <c r="D537" s="774">
        <v>2100200221</v>
      </c>
      <c r="E537" s="775">
        <f>SUM(E538:E551)</f>
        <v>0</v>
      </c>
      <c r="F537" s="776">
        <f>+[28]เรียงตามเขต!H46</f>
        <v>0</v>
      </c>
      <c r="G537" s="776">
        <f>+[28]เรียงตามเขต!I46</f>
        <v>0</v>
      </c>
      <c r="H537" s="776">
        <f>E537-F537-G537</f>
        <v>0</v>
      </c>
      <c r="I537" s="776">
        <v>0</v>
      </c>
    </row>
    <row r="538" spans="1:9" s="783" customFormat="1" ht="47.25" hidden="1" customHeight="1" outlineLevel="2">
      <c r="A538" s="779"/>
      <c r="B538" s="1132"/>
      <c r="C538" s="1133"/>
      <c r="D538" s="780"/>
      <c r="E538" s="781"/>
      <c r="F538" s="782"/>
      <c r="G538" s="782"/>
      <c r="H538" s="782"/>
      <c r="I538" s="782"/>
    </row>
    <row r="539" spans="1:9" s="783" customFormat="1" ht="15" hidden="1" outlineLevel="2">
      <c r="A539" s="779"/>
      <c r="B539" s="1132"/>
      <c r="C539" s="1133"/>
      <c r="D539" s="780"/>
      <c r="E539" s="781"/>
      <c r="F539" s="782"/>
      <c r="G539" s="782"/>
      <c r="H539" s="782"/>
      <c r="I539" s="782"/>
    </row>
    <row r="540" spans="1:9" s="783" customFormat="1" ht="18" hidden="1" customHeight="1" outlineLevel="2">
      <c r="A540" s="779"/>
      <c r="B540" s="1132"/>
      <c r="C540" s="1133"/>
      <c r="D540" s="780"/>
      <c r="E540" s="781"/>
      <c r="F540" s="782"/>
      <c r="G540" s="782"/>
      <c r="H540" s="782"/>
      <c r="I540" s="782"/>
    </row>
    <row r="541" spans="1:9" s="783" customFormat="1" ht="18" hidden="1" customHeight="1" outlineLevel="2">
      <c r="A541" s="779"/>
      <c r="B541" s="1132"/>
      <c r="C541" s="1133"/>
      <c r="D541" s="780"/>
      <c r="E541" s="781"/>
      <c r="F541" s="782"/>
      <c r="G541" s="782"/>
      <c r="H541" s="782"/>
      <c r="I541" s="782"/>
    </row>
    <row r="542" spans="1:9" s="787" customFormat="1" ht="18.75" hidden="1" customHeight="1" outlineLevel="2">
      <c r="A542" s="779"/>
      <c r="B542" s="1132"/>
      <c r="C542" s="1133"/>
      <c r="D542" s="784"/>
      <c r="E542" s="785"/>
      <c r="F542" s="786"/>
      <c r="G542" s="786"/>
      <c r="H542" s="786"/>
      <c r="I542" s="786"/>
    </row>
    <row r="543" spans="1:9" s="787" customFormat="1" ht="48.75" hidden="1" customHeight="1" outlineLevel="2">
      <c r="A543" s="779"/>
      <c r="B543" s="1132"/>
      <c r="C543" s="1133"/>
      <c r="D543" s="784"/>
      <c r="E543" s="785"/>
      <c r="F543" s="786"/>
      <c r="G543" s="786"/>
      <c r="H543" s="786"/>
      <c r="I543" s="786"/>
    </row>
    <row r="544" spans="1:9" s="787" customFormat="1" ht="33" hidden="1" customHeight="1" outlineLevel="2">
      <c r="A544" s="779"/>
      <c r="B544" s="1132"/>
      <c r="C544" s="1133"/>
      <c r="D544" s="784"/>
      <c r="E544" s="785"/>
      <c r="F544" s="786"/>
      <c r="G544" s="786"/>
      <c r="H544" s="786"/>
      <c r="I544" s="786"/>
    </row>
    <row r="545" spans="1:9" s="787" customFormat="1" ht="33" hidden="1" customHeight="1" outlineLevel="2">
      <c r="A545" s="779"/>
      <c r="B545" s="1132"/>
      <c r="C545" s="1133"/>
      <c r="D545" s="784"/>
      <c r="E545" s="785"/>
      <c r="F545" s="786"/>
      <c r="G545" s="786"/>
      <c r="H545" s="786"/>
      <c r="I545" s="786"/>
    </row>
    <row r="546" spans="1:9" s="790" customFormat="1" ht="36" hidden="1" customHeight="1" outlineLevel="2">
      <c r="A546" s="779"/>
      <c r="B546" s="1132"/>
      <c r="C546" s="1133"/>
      <c r="D546" s="788"/>
      <c r="E546" s="789"/>
      <c r="F546" s="786"/>
      <c r="G546" s="786"/>
      <c r="H546" s="786"/>
      <c r="I546" s="786"/>
    </row>
    <row r="547" spans="1:9" s="790" customFormat="1" ht="15" hidden="1" outlineLevel="2">
      <c r="A547" s="779"/>
      <c r="B547" s="1132" t="s">
        <v>820</v>
      </c>
      <c r="C547" s="1133"/>
      <c r="D547" s="788"/>
      <c r="E547" s="789">
        <v>0</v>
      </c>
      <c r="F547" s="786"/>
      <c r="G547" s="786"/>
      <c r="H547" s="786"/>
      <c r="I547" s="786"/>
    </row>
    <row r="548" spans="1:9" s="790" customFormat="1" ht="30" hidden="1" customHeight="1" outlineLevel="2">
      <c r="A548" s="779"/>
      <c r="B548" s="1132" t="s">
        <v>821</v>
      </c>
      <c r="C548" s="1133"/>
      <c r="D548" s="788"/>
      <c r="E548" s="789">
        <v>0</v>
      </c>
      <c r="F548" s="786"/>
      <c r="G548" s="786"/>
      <c r="H548" s="786"/>
      <c r="I548" s="786"/>
    </row>
    <row r="549" spans="1:9" s="790" customFormat="1" ht="28.5" hidden="1" customHeight="1" outlineLevel="2">
      <c r="A549" s="779"/>
      <c r="B549" s="1132" t="s">
        <v>822</v>
      </c>
      <c r="C549" s="1133"/>
      <c r="D549" s="788"/>
      <c r="E549" s="789">
        <v>0</v>
      </c>
      <c r="F549" s="786"/>
      <c r="G549" s="786"/>
      <c r="H549" s="786"/>
      <c r="I549" s="786"/>
    </row>
    <row r="550" spans="1:9" s="790" customFormat="1" ht="28.5" hidden="1" customHeight="1" outlineLevel="2">
      <c r="A550" s="779"/>
      <c r="B550" s="1132" t="s">
        <v>823</v>
      </c>
      <c r="C550" s="1133"/>
      <c r="D550" s="788"/>
      <c r="E550" s="789">
        <v>0</v>
      </c>
      <c r="F550" s="786"/>
      <c r="G550" s="786"/>
      <c r="H550" s="786"/>
      <c r="I550" s="786"/>
    </row>
    <row r="551" spans="1:9" s="790" customFormat="1" ht="15" hidden="1" outlineLevel="2">
      <c r="A551" s="791"/>
      <c r="B551" s="1137"/>
      <c r="C551" s="1138"/>
      <c r="D551" s="799"/>
      <c r="E551" s="800"/>
      <c r="F551" s="793"/>
      <c r="G551" s="793"/>
      <c r="H551" s="793"/>
      <c r="I551" s="793"/>
    </row>
    <row r="552" spans="1:9" s="762" customFormat="1" outlineLevel="1" collapsed="1">
      <c r="A552" s="763"/>
      <c r="B552" s="764" t="s">
        <v>826</v>
      </c>
      <c r="C552" s="765"/>
      <c r="D552" s="766"/>
      <c r="E552" s="767">
        <f>+E553+E568+E583+E598+E613+E628+E643+E660</f>
        <v>139800</v>
      </c>
      <c r="F552" s="767">
        <f>+F553+F568+F583+F598+F613+F628+F643+F660</f>
        <v>0</v>
      </c>
      <c r="G552" s="767">
        <f>+G553+G568+G583+G598+G613+G628+G643+G660</f>
        <v>0</v>
      </c>
      <c r="H552" s="767">
        <f>+H553+H568+H583+H598+H613+H628+H643+H660</f>
        <v>139800</v>
      </c>
      <c r="I552" s="768">
        <f>SUM(I553:I660)</f>
        <v>0</v>
      </c>
    </row>
    <row r="553" spans="1:9" s="770" customFormat="1" ht="15" hidden="1" outlineLevel="1">
      <c r="A553" s="771"/>
      <c r="B553" s="817" t="s">
        <v>742</v>
      </c>
      <c r="C553" s="773" t="s">
        <v>545</v>
      </c>
      <c r="D553" s="774">
        <v>2100200076</v>
      </c>
      <c r="E553" s="775">
        <f>SUM(E554:E567)</f>
        <v>0</v>
      </c>
      <c r="F553" s="776">
        <f>+[28]เรียงตามเขต!H48</f>
        <v>0</v>
      </c>
      <c r="G553" s="776">
        <f>+[28]เรียงตามเขต!I48</f>
        <v>0</v>
      </c>
      <c r="H553" s="776">
        <f>E553-F553-G553</f>
        <v>0</v>
      </c>
      <c r="I553" s="776">
        <v>0</v>
      </c>
    </row>
    <row r="554" spans="1:9" s="783" customFormat="1" ht="47.25" hidden="1" customHeight="1" outlineLevel="2">
      <c r="A554" s="779"/>
      <c r="B554" s="1132"/>
      <c r="C554" s="1133"/>
      <c r="D554" s="780"/>
      <c r="E554" s="781"/>
      <c r="F554" s="782"/>
      <c r="G554" s="782"/>
      <c r="H554" s="782"/>
      <c r="I554" s="782"/>
    </row>
    <row r="555" spans="1:9" s="783" customFormat="1" ht="15" hidden="1" outlineLevel="2">
      <c r="A555" s="779"/>
      <c r="B555" s="1132"/>
      <c r="C555" s="1133"/>
      <c r="D555" s="780"/>
      <c r="E555" s="781"/>
      <c r="F555" s="782"/>
      <c r="G555" s="782"/>
      <c r="H555" s="782"/>
      <c r="I555" s="782"/>
    </row>
    <row r="556" spans="1:9" s="783" customFormat="1" ht="18" hidden="1" customHeight="1" outlineLevel="2">
      <c r="A556" s="779"/>
      <c r="B556" s="1132"/>
      <c r="C556" s="1133"/>
      <c r="D556" s="780"/>
      <c r="E556" s="781"/>
      <c r="F556" s="782"/>
      <c r="G556" s="782"/>
      <c r="H556" s="782"/>
      <c r="I556" s="782"/>
    </row>
    <row r="557" spans="1:9" s="783" customFormat="1" ht="18" hidden="1" customHeight="1" outlineLevel="2">
      <c r="A557" s="779"/>
      <c r="B557" s="1132"/>
      <c r="C557" s="1133"/>
      <c r="D557" s="780"/>
      <c r="E557" s="781"/>
      <c r="F557" s="782"/>
      <c r="G557" s="782"/>
      <c r="H557" s="782"/>
      <c r="I557" s="782"/>
    </row>
    <row r="558" spans="1:9" s="787" customFormat="1" ht="18.75" hidden="1" customHeight="1" outlineLevel="2">
      <c r="A558" s="779"/>
      <c r="B558" s="1132"/>
      <c r="C558" s="1133"/>
      <c r="D558" s="784"/>
      <c r="E558" s="785"/>
      <c r="F558" s="786"/>
      <c r="G558" s="786"/>
      <c r="H558" s="786"/>
      <c r="I558" s="786"/>
    </row>
    <row r="559" spans="1:9" s="787" customFormat="1" ht="48.75" hidden="1" customHeight="1" outlineLevel="2">
      <c r="A559" s="779"/>
      <c r="B559" s="1132"/>
      <c r="C559" s="1133"/>
      <c r="D559" s="784"/>
      <c r="E559" s="785"/>
      <c r="F559" s="786"/>
      <c r="G559" s="786"/>
      <c r="H559" s="786"/>
      <c r="I559" s="786"/>
    </row>
    <row r="560" spans="1:9" s="787" customFormat="1" ht="33" hidden="1" customHeight="1" outlineLevel="2">
      <c r="A560" s="779"/>
      <c r="B560" s="1132"/>
      <c r="C560" s="1133"/>
      <c r="D560" s="784"/>
      <c r="E560" s="785"/>
      <c r="F560" s="786"/>
      <c r="G560" s="786"/>
      <c r="H560" s="786"/>
      <c r="I560" s="786"/>
    </row>
    <row r="561" spans="1:9" s="787" customFormat="1" ht="33" hidden="1" customHeight="1" outlineLevel="2">
      <c r="A561" s="779"/>
      <c r="B561" s="1132"/>
      <c r="C561" s="1133"/>
      <c r="D561" s="784"/>
      <c r="E561" s="785"/>
      <c r="F561" s="786"/>
      <c r="G561" s="786"/>
      <c r="H561" s="786"/>
      <c r="I561" s="786"/>
    </row>
    <row r="562" spans="1:9" s="790" customFormat="1" ht="36" hidden="1" customHeight="1" outlineLevel="2">
      <c r="A562" s="779"/>
      <c r="B562" s="1132"/>
      <c r="C562" s="1133"/>
      <c r="D562" s="788"/>
      <c r="E562" s="789"/>
      <c r="F562" s="786"/>
      <c r="G562" s="786"/>
      <c r="H562" s="786"/>
      <c r="I562" s="786"/>
    </row>
    <row r="563" spans="1:9" s="790" customFormat="1" ht="15" hidden="1" outlineLevel="2">
      <c r="A563" s="779"/>
      <c r="B563" s="1132" t="s">
        <v>820</v>
      </c>
      <c r="C563" s="1133"/>
      <c r="D563" s="788"/>
      <c r="E563" s="789">
        <v>0</v>
      </c>
      <c r="F563" s="786"/>
      <c r="G563" s="786"/>
      <c r="H563" s="786"/>
      <c r="I563" s="786"/>
    </row>
    <row r="564" spans="1:9" s="790" customFormat="1" ht="30" hidden="1" customHeight="1" outlineLevel="2">
      <c r="A564" s="779"/>
      <c r="B564" s="1132" t="s">
        <v>821</v>
      </c>
      <c r="C564" s="1133"/>
      <c r="D564" s="788"/>
      <c r="E564" s="789">
        <v>0</v>
      </c>
      <c r="F564" s="786"/>
      <c r="G564" s="786"/>
      <c r="H564" s="786"/>
      <c r="I564" s="786"/>
    </row>
    <row r="565" spans="1:9" s="790" customFormat="1" ht="28.5" hidden="1" customHeight="1" outlineLevel="2">
      <c r="A565" s="779"/>
      <c r="B565" s="1132" t="s">
        <v>822</v>
      </c>
      <c r="C565" s="1133"/>
      <c r="D565" s="788"/>
      <c r="E565" s="789">
        <v>0</v>
      </c>
      <c r="F565" s="786"/>
      <c r="G565" s="786"/>
      <c r="H565" s="786"/>
      <c r="I565" s="786"/>
    </row>
    <row r="566" spans="1:9" s="790" customFormat="1" ht="28.5" hidden="1" customHeight="1" outlineLevel="2">
      <c r="A566" s="779"/>
      <c r="B566" s="1132" t="s">
        <v>823</v>
      </c>
      <c r="C566" s="1133"/>
      <c r="D566" s="788"/>
      <c r="E566" s="789">
        <v>0</v>
      </c>
      <c r="F566" s="786"/>
      <c r="G566" s="786"/>
      <c r="H566" s="786"/>
      <c r="I566" s="786"/>
    </row>
    <row r="567" spans="1:9" s="790" customFormat="1" ht="15" hidden="1" outlineLevel="2">
      <c r="A567" s="791"/>
      <c r="B567" s="1137"/>
      <c r="C567" s="1138"/>
      <c r="D567" s="799"/>
      <c r="E567" s="800"/>
      <c r="F567" s="793"/>
      <c r="G567" s="793"/>
      <c r="H567" s="793"/>
      <c r="I567" s="793"/>
    </row>
    <row r="568" spans="1:9" s="770" customFormat="1" ht="15" hidden="1" outlineLevel="2">
      <c r="A568" s="771"/>
      <c r="B568" s="772" t="s">
        <v>743</v>
      </c>
      <c r="C568" s="773" t="s">
        <v>547</v>
      </c>
      <c r="D568" s="774">
        <v>2100200099</v>
      </c>
      <c r="E568" s="775">
        <f>SUM(E569:E582)</f>
        <v>0</v>
      </c>
      <c r="F568" s="776">
        <f>+[28]เรียงตามเขต!H49</f>
        <v>0</v>
      </c>
      <c r="G568" s="776">
        <f>+[28]เรียงตามเขต!I49</f>
        <v>0</v>
      </c>
      <c r="H568" s="776">
        <f>E568-F568-G568</f>
        <v>0</v>
      </c>
      <c r="I568" s="776">
        <v>0</v>
      </c>
    </row>
    <row r="569" spans="1:9" s="783" customFormat="1" ht="47.25" hidden="1" customHeight="1" outlineLevel="2">
      <c r="A569" s="779"/>
      <c r="B569" s="1132"/>
      <c r="C569" s="1133"/>
      <c r="D569" s="780"/>
      <c r="E569" s="781"/>
      <c r="F569" s="782"/>
      <c r="G569" s="782"/>
      <c r="H569" s="782"/>
      <c r="I569" s="782"/>
    </row>
    <row r="570" spans="1:9" s="783" customFormat="1" ht="15" hidden="1" outlineLevel="2">
      <c r="A570" s="779"/>
      <c r="B570" s="1132"/>
      <c r="C570" s="1133"/>
      <c r="D570" s="780"/>
      <c r="E570" s="781"/>
      <c r="F570" s="782"/>
      <c r="G570" s="782"/>
      <c r="H570" s="782"/>
      <c r="I570" s="782"/>
    </row>
    <row r="571" spans="1:9" s="783" customFormat="1" ht="18" hidden="1" customHeight="1" outlineLevel="2">
      <c r="A571" s="779"/>
      <c r="B571" s="1132"/>
      <c r="C571" s="1133"/>
      <c r="D571" s="780"/>
      <c r="E571" s="781"/>
      <c r="F571" s="782"/>
      <c r="G571" s="782"/>
      <c r="H571" s="782"/>
      <c r="I571" s="782"/>
    </row>
    <row r="572" spans="1:9" s="783" customFormat="1" ht="18" hidden="1" customHeight="1" outlineLevel="2">
      <c r="A572" s="779"/>
      <c r="B572" s="1132"/>
      <c r="C572" s="1133"/>
      <c r="D572" s="780"/>
      <c r="E572" s="781"/>
      <c r="F572" s="782"/>
      <c r="G572" s="782"/>
      <c r="H572" s="782"/>
      <c r="I572" s="782"/>
    </row>
    <row r="573" spans="1:9" s="787" customFormat="1" ht="18.75" hidden="1" customHeight="1" outlineLevel="2">
      <c r="A573" s="779"/>
      <c r="B573" s="1132"/>
      <c r="C573" s="1133"/>
      <c r="D573" s="784"/>
      <c r="E573" s="785"/>
      <c r="F573" s="786"/>
      <c r="G573" s="786"/>
      <c r="H573" s="786"/>
      <c r="I573" s="786"/>
    </row>
    <row r="574" spans="1:9" s="787" customFormat="1" ht="48.75" hidden="1" customHeight="1" outlineLevel="2">
      <c r="A574" s="779"/>
      <c r="B574" s="1132"/>
      <c r="C574" s="1133"/>
      <c r="D574" s="784"/>
      <c r="E574" s="785"/>
      <c r="F574" s="786"/>
      <c r="G574" s="786"/>
      <c r="H574" s="786"/>
      <c r="I574" s="786"/>
    </row>
    <row r="575" spans="1:9" s="787" customFormat="1" ht="33" hidden="1" customHeight="1" outlineLevel="2">
      <c r="A575" s="779"/>
      <c r="B575" s="1132"/>
      <c r="C575" s="1133"/>
      <c r="D575" s="784"/>
      <c r="E575" s="785"/>
      <c r="F575" s="786"/>
      <c r="G575" s="786"/>
      <c r="H575" s="786"/>
      <c r="I575" s="786"/>
    </row>
    <row r="576" spans="1:9" s="787" customFormat="1" ht="33" hidden="1" customHeight="1" outlineLevel="2">
      <c r="A576" s="779"/>
      <c r="B576" s="1132"/>
      <c r="C576" s="1133"/>
      <c r="D576" s="784"/>
      <c r="E576" s="785"/>
      <c r="F576" s="786"/>
      <c r="G576" s="786"/>
      <c r="H576" s="786"/>
      <c r="I576" s="786"/>
    </row>
    <row r="577" spans="1:9" s="790" customFormat="1" ht="36" hidden="1" customHeight="1" outlineLevel="2">
      <c r="A577" s="779"/>
      <c r="B577" s="1132"/>
      <c r="C577" s="1133"/>
      <c r="D577" s="788"/>
      <c r="E577" s="789"/>
      <c r="F577" s="786"/>
      <c r="G577" s="786"/>
      <c r="H577" s="786"/>
      <c r="I577" s="786"/>
    </row>
    <row r="578" spans="1:9" s="790" customFormat="1" ht="15" hidden="1" outlineLevel="2">
      <c r="A578" s="779"/>
      <c r="B578" s="1132"/>
      <c r="C578" s="1133"/>
      <c r="D578" s="788"/>
      <c r="E578" s="789"/>
      <c r="F578" s="786"/>
      <c r="G578" s="786"/>
      <c r="H578" s="786"/>
      <c r="I578" s="786"/>
    </row>
    <row r="579" spans="1:9" s="790" customFormat="1" ht="30" hidden="1" customHeight="1" outlineLevel="2">
      <c r="A579" s="779"/>
      <c r="B579" s="1132"/>
      <c r="C579" s="1133"/>
      <c r="D579" s="788"/>
      <c r="E579" s="789"/>
      <c r="F579" s="786"/>
      <c r="G579" s="786"/>
      <c r="H579" s="786"/>
      <c r="I579" s="786"/>
    </row>
    <row r="580" spans="1:9" s="790" customFormat="1" ht="28.5" hidden="1" customHeight="1" outlineLevel="2">
      <c r="A580" s="779"/>
      <c r="B580" s="1132"/>
      <c r="C580" s="1133"/>
      <c r="D580" s="788"/>
      <c r="E580" s="789"/>
      <c r="F580" s="786"/>
      <c r="G580" s="786"/>
      <c r="H580" s="786"/>
      <c r="I580" s="786"/>
    </row>
    <row r="581" spans="1:9" s="790" customFormat="1" ht="28.5" hidden="1" customHeight="1" outlineLevel="2">
      <c r="A581" s="779"/>
      <c r="B581" s="1132"/>
      <c r="C581" s="1133"/>
      <c r="D581" s="788"/>
      <c r="E581" s="789"/>
      <c r="F581" s="786"/>
      <c r="G581" s="786"/>
      <c r="H581" s="786"/>
      <c r="I581" s="786"/>
    </row>
    <row r="582" spans="1:9" s="790" customFormat="1" ht="15" hidden="1" outlineLevel="2">
      <c r="A582" s="791"/>
      <c r="B582" s="1139"/>
      <c r="C582" s="1140"/>
      <c r="D582" s="799"/>
      <c r="E582" s="792"/>
      <c r="F582" s="793"/>
      <c r="G582" s="793"/>
      <c r="H582" s="793"/>
      <c r="I582" s="793"/>
    </row>
    <row r="583" spans="1:9" s="770" customFormat="1" ht="15" hidden="1" outlineLevel="2">
      <c r="A583" s="771"/>
      <c r="B583" s="772" t="s">
        <v>744</v>
      </c>
      <c r="C583" s="773" t="s">
        <v>549</v>
      </c>
      <c r="D583" s="774">
        <v>2100200101</v>
      </c>
      <c r="E583" s="775">
        <f>SUM(E584:E597)</f>
        <v>0</v>
      </c>
      <c r="F583" s="776">
        <f>+[28]เรียงตามเขต!H50</f>
        <v>0</v>
      </c>
      <c r="G583" s="776">
        <f>+[28]เรียงตามเขต!I50</f>
        <v>0</v>
      </c>
      <c r="H583" s="776">
        <f>E583-F583-G583</f>
        <v>0</v>
      </c>
      <c r="I583" s="776">
        <v>0</v>
      </c>
    </row>
    <row r="584" spans="1:9" s="783" customFormat="1" ht="47.25" hidden="1" customHeight="1" outlineLevel="2">
      <c r="A584" s="779"/>
      <c r="B584" s="1132"/>
      <c r="C584" s="1133"/>
      <c r="D584" s="780"/>
      <c r="E584" s="781"/>
      <c r="F584" s="782"/>
      <c r="G584" s="782"/>
      <c r="H584" s="782"/>
      <c r="I584" s="782"/>
    </row>
    <row r="585" spans="1:9" s="783" customFormat="1" ht="15" hidden="1" outlineLevel="2">
      <c r="A585" s="779"/>
      <c r="B585" s="1132"/>
      <c r="C585" s="1133"/>
      <c r="D585" s="780"/>
      <c r="E585" s="781"/>
      <c r="F585" s="782"/>
      <c r="G585" s="782"/>
      <c r="H585" s="782"/>
      <c r="I585" s="782"/>
    </row>
    <row r="586" spans="1:9" s="783" customFormat="1" ht="18" hidden="1" customHeight="1" outlineLevel="2">
      <c r="A586" s="779"/>
      <c r="B586" s="1132"/>
      <c r="C586" s="1133"/>
      <c r="D586" s="780"/>
      <c r="E586" s="781"/>
      <c r="F586" s="782"/>
      <c r="G586" s="782"/>
      <c r="H586" s="782"/>
      <c r="I586" s="782"/>
    </row>
    <row r="587" spans="1:9" s="783" customFormat="1" ht="18" hidden="1" customHeight="1" outlineLevel="2">
      <c r="A587" s="779"/>
      <c r="B587" s="1132"/>
      <c r="C587" s="1133"/>
      <c r="D587" s="780"/>
      <c r="E587" s="781"/>
      <c r="F587" s="782"/>
      <c r="G587" s="782"/>
      <c r="H587" s="782"/>
      <c r="I587" s="782"/>
    </row>
    <row r="588" spans="1:9" s="787" customFormat="1" ht="18.75" hidden="1" customHeight="1" outlineLevel="2">
      <c r="A588" s="779"/>
      <c r="B588" s="1132"/>
      <c r="C588" s="1133"/>
      <c r="D588" s="784"/>
      <c r="E588" s="785"/>
      <c r="F588" s="786"/>
      <c r="G588" s="786"/>
      <c r="H588" s="786"/>
      <c r="I588" s="786"/>
    </row>
    <row r="589" spans="1:9" s="787" customFormat="1" ht="48.75" hidden="1" customHeight="1" outlineLevel="2">
      <c r="A589" s="779"/>
      <c r="B589" s="1132"/>
      <c r="C589" s="1133"/>
      <c r="D589" s="784"/>
      <c r="E589" s="785"/>
      <c r="F589" s="786"/>
      <c r="G589" s="786"/>
      <c r="H589" s="786"/>
      <c r="I589" s="786"/>
    </row>
    <row r="590" spans="1:9" s="787" customFormat="1" ht="33" hidden="1" customHeight="1" outlineLevel="2">
      <c r="A590" s="779"/>
      <c r="B590" s="1132"/>
      <c r="C590" s="1133"/>
      <c r="D590" s="784"/>
      <c r="E590" s="785"/>
      <c r="F590" s="786"/>
      <c r="G590" s="786"/>
      <c r="H590" s="786"/>
      <c r="I590" s="786"/>
    </row>
    <row r="591" spans="1:9" s="787" customFormat="1" ht="33" hidden="1" customHeight="1" outlineLevel="2">
      <c r="A591" s="779"/>
      <c r="B591" s="1132"/>
      <c r="C591" s="1133"/>
      <c r="D591" s="784"/>
      <c r="E591" s="785"/>
      <c r="F591" s="786"/>
      <c r="G591" s="786"/>
      <c r="H591" s="786"/>
      <c r="I591" s="786"/>
    </row>
    <row r="592" spans="1:9" s="790" customFormat="1" ht="21" hidden="1" customHeight="1" outlineLevel="2">
      <c r="A592" s="779"/>
      <c r="B592" s="1132"/>
      <c r="C592" s="1133"/>
      <c r="D592" s="788"/>
      <c r="E592" s="789"/>
      <c r="F592" s="786"/>
      <c r="G592" s="786"/>
      <c r="H592" s="786"/>
      <c r="I592" s="786"/>
    </row>
    <row r="593" spans="1:9" s="790" customFormat="1" ht="15" hidden="1" outlineLevel="2">
      <c r="A593" s="779"/>
      <c r="B593" s="1132"/>
      <c r="C593" s="1133"/>
      <c r="D593" s="788"/>
      <c r="E593" s="789"/>
      <c r="F593" s="786"/>
      <c r="G593" s="786"/>
      <c r="H593" s="786"/>
      <c r="I593" s="786"/>
    </row>
    <row r="594" spans="1:9" s="790" customFormat="1" ht="30" hidden="1" customHeight="1" outlineLevel="2">
      <c r="A594" s="779"/>
      <c r="B594" s="1132"/>
      <c r="C594" s="1133"/>
      <c r="D594" s="788"/>
      <c r="E594" s="789"/>
      <c r="F594" s="786"/>
      <c r="G594" s="786"/>
      <c r="H594" s="786"/>
      <c r="I594" s="786"/>
    </row>
    <row r="595" spans="1:9" s="790" customFormat="1" ht="28.5" hidden="1" customHeight="1" outlineLevel="2">
      <c r="A595" s="779"/>
      <c r="B595" s="1132"/>
      <c r="C595" s="1133"/>
      <c r="D595" s="788"/>
      <c r="E595" s="789"/>
      <c r="F595" s="786"/>
      <c r="G595" s="786"/>
      <c r="H595" s="786"/>
      <c r="I595" s="786"/>
    </row>
    <row r="596" spans="1:9" s="790" customFormat="1" ht="28.5" hidden="1" customHeight="1" outlineLevel="2">
      <c r="A596" s="779"/>
      <c r="B596" s="1132"/>
      <c r="C596" s="1133"/>
      <c r="D596" s="788"/>
      <c r="E596" s="789"/>
      <c r="F596" s="786"/>
      <c r="G596" s="786"/>
      <c r="H596" s="786"/>
      <c r="I596" s="786"/>
    </row>
    <row r="597" spans="1:9" s="790" customFormat="1" ht="15" hidden="1" outlineLevel="2">
      <c r="A597" s="779"/>
      <c r="B597" s="1141"/>
      <c r="C597" s="1142"/>
      <c r="D597" s="788"/>
      <c r="E597" s="788"/>
      <c r="F597" s="786"/>
      <c r="G597" s="786"/>
      <c r="H597" s="786"/>
      <c r="I597" s="786"/>
    </row>
    <row r="598" spans="1:9" s="770" customFormat="1" ht="15" hidden="1" outlineLevel="2">
      <c r="A598" s="771"/>
      <c r="B598" s="772" t="s">
        <v>745</v>
      </c>
      <c r="C598" s="773" t="s">
        <v>551</v>
      </c>
      <c r="D598" s="774">
        <v>2100200103</v>
      </c>
      <c r="E598" s="775">
        <f>SUM(E599:E612)</f>
        <v>0</v>
      </c>
      <c r="F598" s="776">
        <f>+[28]เรียงตามเขต!H51</f>
        <v>0</v>
      </c>
      <c r="G598" s="776">
        <f>+[28]เรียงตามเขต!I51</f>
        <v>0</v>
      </c>
      <c r="H598" s="776">
        <f>E598-F598-G598</f>
        <v>0</v>
      </c>
      <c r="I598" s="776">
        <v>0</v>
      </c>
    </row>
    <row r="599" spans="1:9" s="783" customFormat="1" ht="47.25" hidden="1" customHeight="1" outlineLevel="2">
      <c r="A599" s="779"/>
      <c r="B599" s="1132"/>
      <c r="C599" s="1133"/>
      <c r="D599" s="780"/>
      <c r="E599" s="781"/>
      <c r="F599" s="782"/>
      <c r="G599" s="782"/>
      <c r="H599" s="782"/>
      <c r="I599" s="782"/>
    </row>
    <row r="600" spans="1:9" s="783" customFormat="1" ht="15" hidden="1" outlineLevel="2">
      <c r="A600" s="779"/>
      <c r="B600" s="1132"/>
      <c r="C600" s="1133"/>
      <c r="D600" s="780"/>
      <c r="E600" s="781"/>
      <c r="F600" s="782"/>
      <c r="G600" s="782"/>
      <c r="H600" s="782"/>
      <c r="I600" s="782"/>
    </row>
    <row r="601" spans="1:9" s="783" customFormat="1" ht="18" hidden="1" customHeight="1" outlineLevel="2">
      <c r="A601" s="779"/>
      <c r="B601" s="1132"/>
      <c r="C601" s="1133"/>
      <c r="D601" s="780"/>
      <c r="E601" s="781"/>
      <c r="F601" s="782"/>
      <c r="G601" s="782"/>
      <c r="H601" s="782"/>
      <c r="I601" s="782"/>
    </row>
    <row r="602" spans="1:9" s="783" customFormat="1" ht="18" hidden="1" customHeight="1" outlineLevel="2">
      <c r="A602" s="779"/>
      <c r="B602" s="1132"/>
      <c r="C602" s="1133"/>
      <c r="D602" s="780"/>
      <c r="E602" s="781"/>
      <c r="F602" s="782"/>
      <c r="G602" s="782"/>
      <c r="H602" s="782"/>
      <c r="I602" s="782"/>
    </row>
    <row r="603" spans="1:9" s="787" customFormat="1" ht="18.75" hidden="1" customHeight="1" outlineLevel="2">
      <c r="A603" s="779"/>
      <c r="B603" s="1132"/>
      <c r="C603" s="1133"/>
      <c r="D603" s="784"/>
      <c r="E603" s="785"/>
      <c r="F603" s="786"/>
      <c r="G603" s="786"/>
      <c r="H603" s="786"/>
      <c r="I603" s="786"/>
    </row>
    <row r="604" spans="1:9" s="787" customFormat="1" ht="48.75" hidden="1" customHeight="1" outlineLevel="2">
      <c r="A604" s="779"/>
      <c r="B604" s="1132"/>
      <c r="C604" s="1133"/>
      <c r="D604" s="784"/>
      <c r="E604" s="785"/>
      <c r="F604" s="786"/>
      <c r="G604" s="786"/>
      <c r="H604" s="786"/>
      <c r="I604" s="786"/>
    </row>
    <row r="605" spans="1:9" s="787" customFormat="1" ht="33" hidden="1" customHeight="1" outlineLevel="2">
      <c r="A605" s="779"/>
      <c r="B605" s="1132"/>
      <c r="C605" s="1133"/>
      <c r="D605" s="784"/>
      <c r="E605" s="785"/>
      <c r="F605" s="786"/>
      <c r="G605" s="786"/>
      <c r="H605" s="786"/>
      <c r="I605" s="786"/>
    </row>
    <row r="606" spans="1:9" s="787" customFormat="1" ht="33" hidden="1" customHeight="1" outlineLevel="2">
      <c r="A606" s="779"/>
      <c r="B606" s="1132"/>
      <c r="C606" s="1133"/>
      <c r="D606" s="784"/>
      <c r="E606" s="785"/>
      <c r="F606" s="786"/>
      <c r="G606" s="786"/>
      <c r="H606" s="786"/>
      <c r="I606" s="786"/>
    </row>
    <row r="607" spans="1:9" s="790" customFormat="1" ht="36" hidden="1" customHeight="1" outlineLevel="2">
      <c r="A607" s="779"/>
      <c r="B607" s="1132"/>
      <c r="C607" s="1133"/>
      <c r="D607" s="788"/>
      <c r="E607" s="789"/>
      <c r="F607" s="786"/>
      <c r="G607" s="786"/>
      <c r="H607" s="786"/>
      <c r="I607" s="786"/>
    </row>
    <row r="608" spans="1:9" s="790" customFormat="1" ht="15" hidden="1" outlineLevel="2">
      <c r="A608" s="779"/>
      <c r="B608" s="1132"/>
      <c r="C608" s="1133"/>
      <c r="D608" s="788"/>
      <c r="E608" s="789"/>
      <c r="F608" s="786"/>
      <c r="G608" s="786"/>
      <c r="H608" s="786"/>
      <c r="I608" s="786"/>
    </row>
    <row r="609" spans="1:9" s="790" customFormat="1" ht="30" hidden="1" customHeight="1" outlineLevel="2">
      <c r="A609" s="779"/>
      <c r="B609" s="1132"/>
      <c r="C609" s="1133"/>
      <c r="D609" s="788"/>
      <c r="E609" s="789"/>
      <c r="F609" s="786"/>
      <c r="G609" s="786"/>
      <c r="H609" s="786"/>
      <c r="I609" s="786"/>
    </row>
    <row r="610" spans="1:9" s="790" customFormat="1" ht="28.5" hidden="1" customHeight="1" outlineLevel="2">
      <c r="A610" s="779"/>
      <c r="B610" s="1132"/>
      <c r="C610" s="1133"/>
      <c r="D610" s="788"/>
      <c r="E610" s="789"/>
      <c r="F610" s="786"/>
      <c r="G610" s="786"/>
      <c r="H610" s="786"/>
      <c r="I610" s="786"/>
    </row>
    <row r="611" spans="1:9" s="790" customFormat="1" ht="28.5" hidden="1" customHeight="1" outlineLevel="2">
      <c r="A611" s="779"/>
      <c r="B611" s="1132"/>
      <c r="C611" s="1133"/>
      <c r="D611" s="788"/>
      <c r="E611" s="789"/>
      <c r="F611" s="786"/>
      <c r="G611" s="786"/>
      <c r="H611" s="786"/>
      <c r="I611" s="786"/>
    </row>
    <row r="612" spans="1:9" s="790" customFormat="1" ht="15" hidden="1" outlineLevel="2">
      <c r="A612" s="779"/>
      <c r="B612" s="1141"/>
      <c r="C612" s="1142"/>
      <c r="D612" s="784"/>
      <c r="E612" s="788"/>
      <c r="F612" s="786"/>
      <c r="G612" s="786"/>
      <c r="H612" s="786"/>
      <c r="I612" s="786"/>
    </row>
    <row r="613" spans="1:9" s="816" customFormat="1" ht="15" hidden="1" outlineLevel="2">
      <c r="A613" s="771"/>
      <c r="B613" s="772" t="s">
        <v>746</v>
      </c>
      <c r="C613" s="773" t="s">
        <v>553</v>
      </c>
      <c r="D613" s="774">
        <v>2100200105</v>
      </c>
      <c r="E613" s="775">
        <f>SUM(E614:E627)</f>
        <v>0</v>
      </c>
      <c r="F613" s="776">
        <f>+[28]เรียงตามเขต!H52</f>
        <v>0</v>
      </c>
      <c r="G613" s="776">
        <f>+[28]เรียงตามเขต!I52</f>
        <v>0</v>
      </c>
      <c r="H613" s="776">
        <f>E613-F613-G613</f>
        <v>0</v>
      </c>
      <c r="I613" s="776">
        <v>0</v>
      </c>
    </row>
    <row r="614" spans="1:9" s="783" customFormat="1" ht="47.25" hidden="1" customHeight="1" outlineLevel="2">
      <c r="A614" s="779"/>
      <c r="B614" s="1132"/>
      <c r="C614" s="1133"/>
      <c r="D614" s="780"/>
      <c r="E614" s="781"/>
      <c r="F614" s="782"/>
      <c r="G614" s="782"/>
      <c r="H614" s="782"/>
      <c r="I614" s="782"/>
    </row>
    <row r="615" spans="1:9" s="783" customFormat="1" ht="15" hidden="1" outlineLevel="2">
      <c r="A615" s="779"/>
      <c r="B615" s="1132"/>
      <c r="C615" s="1133"/>
      <c r="D615" s="780"/>
      <c r="E615" s="781"/>
      <c r="F615" s="782"/>
      <c r="G615" s="782"/>
      <c r="H615" s="782"/>
      <c r="I615" s="782"/>
    </row>
    <row r="616" spans="1:9" s="783" customFormat="1" ht="18" hidden="1" customHeight="1" outlineLevel="2">
      <c r="A616" s="779"/>
      <c r="B616" s="1132"/>
      <c r="C616" s="1133"/>
      <c r="D616" s="780"/>
      <c r="E616" s="781"/>
      <c r="F616" s="782"/>
      <c r="G616" s="782"/>
      <c r="H616" s="782"/>
      <c r="I616" s="782"/>
    </row>
    <row r="617" spans="1:9" s="783" customFormat="1" ht="18" hidden="1" customHeight="1" outlineLevel="2">
      <c r="A617" s="779"/>
      <c r="B617" s="1132"/>
      <c r="C617" s="1133"/>
      <c r="D617" s="780"/>
      <c r="E617" s="781"/>
      <c r="F617" s="782"/>
      <c r="G617" s="782"/>
      <c r="H617" s="782"/>
      <c r="I617" s="782"/>
    </row>
    <row r="618" spans="1:9" s="787" customFormat="1" ht="15" hidden="1" outlineLevel="2">
      <c r="A618" s="779"/>
      <c r="B618" s="1132"/>
      <c r="C618" s="1133"/>
      <c r="D618" s="784"/>
      <c r="E618" s="785"/>
      <c r="F618" s="786"/>
      <c r="G618" s="786"/>
      <c r="H618" s="786"/>
      <c r="I618" s="786"/>
    </row>
    <row r="619" spans="1:9" s="787" customFormat="1" ht="48.75" hidden="1" customHeight="1" outlineLevel="2">
      <c r="A619" s="779"/>
      <c r="B619" s="1132"/>
      <c r="C619" s="1133"/>
      <c r="D619" s="784"/>
      <c r="E619" s="785"/>
      <c r="F619" s="786"/>
      <c r="G619" s="786"/>
      <c r="H619" s="786"/>
      <c r="I619" s="786"/>
    </row>
    <row r="620" spans="1:9" s="787" customFormat="1" ht="33" hidden="1" customHeight="1" outlineLevel="2">
      <c r="A620" s="779"/>
      <c r="B620" s="1132"/>
      <c r="C620" s="1133"/>
      <c r="D620" s="784"/>
      <c r="E620" s="785"/>
      <c r="F620" s="786"/>
      <c r="G620" s="786"/>
      <c r="H620" s="786"/>
      <c r="I620" s="786"/>
    </row>
    <row r="621" spans="1:9" s="787" customFormat="1" ht="33" hidden="1" customHeight="1" outlineLevel="2">
      <c r="A621" s="779"/>
      <c r="B621" s="1132"/>
      <c r="C621" s="1133"/>
      <c r="D621" s="784"/>
      <c r="E621" s="785"/>
      <c r="F621" s="786"/>
      <c r="G621" s="786"/>
      <c r="H621" s="786"/>
      <c r="I621" s="786"/>
    </row>
    <row r="622" spans="1:9" s="790" customFormat="1" ht="36" hidden="1" customHeight="1" outlineLevel="2">
      <c r="A622" s="779"/>
      <c r="B622" s="1132"/>
      <c r="C622" s="1133"/>
      <c r="D622" s="788"/>
      <c r="E622" s="789"/>
      <c r="F622" s="786"/>
      <c r="G622" s="786"/>
      <c r="H622" s="786"/>
      <c r="I622" s="786"/>
    </row>
    <row r="623" spans="1:9" s="790" customFormat="1" ht="15" hidden="1" outlineLevel="2">
      <c r="A623" s="779"/>
      <c r="B623" s="1132" t="s">
        <v>820</v>
      </c>
      <c r="C623" s="1133"/>
      <c r="D623" s="788"/>
      <c r="E623" s="789">
        <v>0</v>
      </c>
      <c r="F623" s="786"/>
      <c r="G623" s="786"/>
      <c r="H623" s="786"/>
      <c r="I623" s="786"/>
    </row>
    <row r="624" spans="1:9" s="790" customFormat="1" ht="30" hidden="1" customHeight="1" outlineLevel="2">
      <c r="A624" s="779"/>
      <c r="B624" s="1132" t="s">
        <v>821</v>
      </c>
      <c r="C624" s="1133"/>
      <c r="D624" s="788"/>
      <c r="E624" s="789">
        <v>0</v>
      </c>
      <c r="F624" s="786"/>
      <c r="G624" s="786"/>
      <c r="H624" s="786"/>
      <c r="I624" s="786"/>
    </row>
    <row r="625" spans="1:9" s="790" customFormat="1" ht="28.5" hidden="1" customHeight="1" outlineLevel="2">
      <c r="A625" s="779"/>
      <c r="B625" s="1132" t="s">
        <v>822</v>
      </c>
      <c r="C625" s="1133"/>
      <c r="D625" s="788"/>
      <c r="E625" s="789">
        <v>0</v>
      </c>
      <c r="F625" s="786"/>
      <c r="G625" s="786"/>
      <c r="H625" s="786"/>
      <c r="I625" s="786"/>
    </row>
    <row r="626" spans="1:9" s="790" customFormat="1" ht="28.5" hidden="1" customHeight="1" outlineLevel="2">
      <c r="A626" s="779"/>
      <c r="B626" s="1132" t="s">
        <v>823</v>
      </c>
      <c r="C626" s="1133"/>
      <c r="D626" s="788"/>
      <c r="E626" s="789">
        <v>0</v>
      </c>
      <c r="F626" s="786"/>
      <c r="G626" s="786"/>
      <c r="H626" s="786"/>
      <c r="I626" s="786"/>
    </row>
    <row r="627" spans="1:9" s="790" customFormat="1" ht="15" hidden="1" outlineLevel="2">
      <c r="A627" s="791"/>
      <c r="B627" s="1137"/>
      <c r="C627" s="1138"/>
      <c r="D627" s="799"/>
      <c r="E627" s="800"/>
      <c r="F627" s="793"/>
      <c r="G627" s="793"/>
      <c r="H627" s="793"/>
      <c r="I627" s="793"/>
    </row>
    <row r="628" spans="1:9" s="770" customFormat="1" ht="15" hidden="1" outlineLevel="1">
      <c r="A628" s="771"/>
      <c r="B628" s="817" t="s">
        <v>747</v>
      </c>
      <c r="C628" s="773" t="s">
        <v>555</v>
      </c>
      <c r="D628" s="774">
        <v>2100200107</v>
      </c>
      <c r="E628" s="775">
        <f>SUM(E629:E642)</f>
        <v>0</v>
      </c>
      <c r="F628" s="776">
        <f>+[28]เรียงตามเขต!H53</f>
        <v>0</v>
      </c>
      <c r="G628" s="776">
        <f>+[28]เรียงตามเขต!I53</f>
        <v>0</v>
      </c>
      <c r="H628" s="776">
        <f>E628-F628-G628</f>
        <v>0</v>
      </c>
      <c r="I628" s="776">
        <v>0</v>
      </c>
    </row>
    <row r="629" spans="1:9" s="783" customFormat="1" ht="47.25" hidden="1" customHeight="1" outlineLevel="2">
      <c r="A629" s="779"/>
      <c r="B629" s="1132"/>
      <c r="C629" s="1133"/>
      <c r="D629" s="780"/>
      <c r="E629" s="781"/>
      <c r="F629" s="782"/>
      <c r="G629" s="782"/>
      <c r="H629" s="782"/>
      <c r="I629" s="782"/>
    </row>
    <row r="630" spans="1:9" s="783" customFormat="1" ht="15" hidden="1" outlineLevel="2">
      <c r="A630" s="779"/>
      <c r="B630" s="1132"/>
      <c r="C630" s="1133"/>
      <c r="D630" s="780"/>
      <c r="E630" s="781"/>
      <c r="F630" s="782"/>
      <c r="G630" s="782"/>
      <c r="H630" s="782"/>
      <c r="I630" s="782"/>
    </row>
    <row r="631" spans="1:9" s="783" customFormat="1" ht="18" hidden="1" customHeight="1" outlineLevel="2">
      <c r="A631" s="779"/>
      <c r="B631" s="1132"/>
      <c r="C631" s="1133"/>
      <c r="D631" s="780"/>
      <c r="E631" s="781"/>
      <c r="F631" s="782"/>
      <c r="G631" s="782"/>
      <c r="H631" s="782"/>
      <c r="I631" s="782"/>
    </row>
    <row r="632" spans="1:9" s="783" customFormat="1" ht="18" hidden="1" customHeight="1" outlineLevel="2">
      <c r="A632" s="779"/>
      <c r="B632" s="1132"/>
      <c r="C632" s="1133"/>
      <c r="D632" s="780"/>
      <c r="E632" s="781"/>
      <c r="F632" s="782"/>
      <c r="G632" s="782"/>
      <c r="H632" s="782"/>
      <c r="I632" s="782"/>
    </row>
    <row r="633" spans="1:9" s="787" customFormat="1" ht="18.75" hidden="1" customHeight="1" outlineLevel="2">
      <c r="A633" s="779"/>
      <c r="B633" s="1132"/>
      <c r="C633" s="1133"/>
      <c r="D633" s="784"/>
      <c r="E633" s="785"/>
      <c r="F633" s="786"/>
      <c r="G633" s="786"/>
      <c r="H633" s="786"/>
      <c r="I633" s="786"/>
    </row>
    <row r="634" spans="1:9" s="787" customFormat="1" ht="48.75" hidden="1" customHeight="1" outlineLevel="2">
      <c r="A634" s="779"/>
      <c r="B634" s="1132"/>
      <c r="C634" s="1133"/>
      <c r="D634" s="784"/>
      <c r="E634" s="785"/>
      <c r="F634" s="786"/>
      <c r="G634" s="786"/>
      <c r="H634" s="786"/>
      <c r="I634" s="786"/>
    </row>
    <row r="635" spans="1:9" s="787" customFormat="1" ht="33" hidden="1" customHeight="1" outlineLevel="2">
      <c r="A635" s="779"/>
      <c r="B635" s="1132"/>
      <c r="C635" s="1133"/>
      <c r="D635" s="784"/>
      <c r="E635" s="785"/>
      <c r="F635" s="786"/>
      <c r="G635" s="786"/>
      <c r="H635" s="786"/>
      <c r="I635" s="786"/>
    </row>
    <row r="636" spans="1:9" s="787" customFormat="1" ht="33" hidden="1" customHeight="1" outlineLevel="2">
      <c r="A636" s="779"/>
      <c r="B636" s="1132"/>
      <c r="C636" s="1133"/>
      <c r="D636" s="784"/>
      <c r="E636" s="785"/>
      <c r="F636" s="786"/>
      <c r="G636" s="786"/>
      <c r="H636" s="786"/>
      <c r="I636" s="786"/>
    </row>
    <row r="637" spans="1:9" s="790" customFormat="1" ht="30" hidden="1" customHeight="1" outlineLevel="2">
      <c r="A637" s="779"/>
      <c r="B637" s="1132"/>
      <c r="C637" s="1133"/>
      <c r="D637" s="788"/>
      <c r="E637" s="789"/>
      <c r="F637" s="786"/>
      <c r="G637" s="786"/>
      <c r="H637" s="786"/>
      <c r="I637" s="786"/>
    </row>
    <row r="638" spans="1:9" s="790" customFormat="1" ht="15" hidden="1" outlineLevel="2">
      <c r="A638" s="779"/>
      <c r="B638" s="1132"/>
      <c r="C638" s="1133"/>
      <c r="D638" s="788"/>
      <c r="E638" s="789"/>
      <c r="F638" s="786"/>
      <c r="G638" s="786"/>
      <c r="H638" s="786"/>
      <c r="I638" s="786"/>
    </row>
    <row r="639" spans="1:9" s="790" customFormat="1" ht="30" hidden="1" customHeight="1" outlineLevel="2">
      <c r="A639" s="779"/>
      <c r="B639" s="1132"/>
      <c r="C639" s="1133"/>
      <c r="D639" s="788"/>
      <c r="E639" s="789"/>
      <c r="F639" s="786"/>
      <c r="G639" s="786"/>
      <c r="H639" s="786"/>
      <c r="I639" s="786"/>
    </row>
    <row r="640" spans="1:9" s="790" customFormat="1" ht="28.5" hidden="1" customHeight="1" outlineLevel="2">
      <c r="A640" s="779"/>
      <c r="B640" s="1132"/>
      <c r="C640" s="1133"/>
      <c r="D640" s="788"/>
      <c r="E640" s="789"/>
      <c r="F640" s="786"/>
      <c r="G640" s="786"/>
      <c r="H640" s="786"/>
      <c r="I640" s="786"/>
    </row>
    <row r="641" spans="1:9" s="790" customFormat="1" ht="28.5" hidden="1" customHeight="1" outlineLevel="2">
      <c r="A641" s="779"/>
      <c r="B641" s="1132"/>
      <c r="C641" s="1133"/>
      <c r="D641" s="788"/>
      <c r="E641" s="789"/>
      <c r="F641" s="786"/>
      <c r="G641" s="786"/>
      <c r="H641" s="786"/>
      <c r="I641" s="786"/>
    </row>
    <row r="642" spans="1:9" s="790" customFormat="1" ht="15" hidden="1" outlineLevel="2">
      <c r="A642" s="791"/>
      <c r="B642" s="1137"/>
      <c r="C642" s="1138"/>
      <c r="D642" s="799"/>
      <c r="E642" s="800"/>
      <c r="F642" s="793"/>
      <c r="G642" s="793"/>
      <c r="H642" s="793"/>
      <c r="I642" s="793"/>
    </row>
    <row r="643" spans="1:9" s="770" customFormat="1" ht="15" hidden="1" outlineLevel="1">
      <c r="A643" s="771"/>
      <c r="B643" s="817" t="s">
        <v>749</v>
      </c>
      <c r="C643" s="773" t="s">
        <v>557</v>
      </c>
      <c r="D643" s="774">
        <v>2100200109</v>
      </c>
      <c r="E643" s="775">
        <f>SUM(E644:E659)</f>
        <v>0</v>
      </c>
      <c r="F643" s="776">
        <f>+[28]เรียงตามเขต!H54</f>
        <v>0</v>
      </c>
      <c r="G643" s="776">
        <f>+[28]เรียงตามเขต!I54</f>
        <v>0</v>
      </c>
      <c r="H643" s="776">
        <f>E643-F643-G643</f>
        <v>0</v>
      </c>
      <c r="I643" s="776">
        <v>0</v>
      </c>
    </row>
    <row r="644" spans="1:9" s="783" customFormat="1" ht="47.25" hidden="1" customHeight="1" outlineLevel="2">
      <c r="A644" s="779"/>
      <c r="B644" s="1132"/>
      <c r="C644" s="1133"/>
      <c r="D644" s="780"/>
      <c r="E644" s="781"/>
      <c r="F644" s="782"/>
      <c r="G644" s="782"/>
      <c r="H644" s="782"/>
      <c r="I644" s="782"/>
    </row>
    <row r="645" spans="1:9" s="783" customFormat="1" ht="15" hidden="1" outlineLevel="2">
      <c r="A645" s="779"/>
      <c r="B645" s="1132"/>
      <c r="C645" s="1133"/>
      <c r="D645" s="780"/>
      <c r="E645" s="781"/>
      <c r="F645" s="782"/>
      <c r="G645" s="782"/>
      <c r="H645" s="782"/>
      <c r="I645" s="782"/>
    </row>
    <row r="646" spans="1:9" s="783" customFormat="1" ht="18" hidden="1" customHeight="1" outlineLevel="2">
      <c r="A646" s="779"/>
      <c r="B646" s="1132"/>
      <c r="C646" s="1133"/>
      <c r="D646" s="780"/>
      <c r="E646" s="781"/>
      <c r="F646" s="782"/>
      <c r="G646" s="782"/>
      <c r="H646" s="782"/>
      <c r="I646" s="782"/>
    </row>
    <row r="647" spans="1:9" s="783" customFormat="1" ht="18" hidden="1" customHeight="1" outlineLevel="2">
      <c r="A647" s="779"/>
      <c r="B647" s="1132"/>
      <c r="C647" s="1133"/>
      <c r="D647" s="780"/>
      <c r="E647" s="781"/>
      <c r="F647" s="782"/>
      <c r="G647" s="782"/>
      <c r="H647" s="782"/>
      <c r="I647" s="782"/>
    </row>
    <row r="648" spans="1:9" s="787" customFormat="1" ht="18.75" hidden="1" customHeight="1" outlineLevel="2">
      <c r="A648" s="779"/>
      <c r="B648" s="1132"/>
      <c r="C648" s="1133"/>
      <c r="D648" s="784"/>
      <c r="E648" s="785"/>
      <c r="F648" s="786"/>
      <c r="G648" s="786"/>
      <c r="H648" s="786"/>
      <c r="I648" s="786"/>
    </row>
    <row r="649" spans="1:9" s="787" customFormat="1" ht="48.75" hidden="1" customHeight="1" outlineLevel="2">
      <c r="A649" s="779"/>
      <c r="B649" s="1132"/>
      <c r="C649" s="1133"/>
      <c r="D649" s="784"/>
      <c r="E649" s="785"/>
      <c r="F649" s="786"/>
      <c r="G649" s="786"/>
      <c r="H649" s="786"/>
      <c r="I649" s="786"/>
    </row>
    <row r="650" spans="1:9" s="787" customFormat="1" ht="33" hidden="1" customHeight="1" outlineLevel="2">
      <c r="A650" s="779"/>
      <c r="B650" s="1132"/>
      <c r="C650" s="1133"/>
      <c r="D650" s="784"/>
      <c r="E650" s="785"/>
      <c r="F650" s="786"/>
      <c r="G650" s="786"/>
      <c r="H650" s="786"/>
      <c r="I650" s="786"/>
    </row>
    <row r="651" spans="1:9" s="787" customFormat="1" ht="33" hidden="1" customHeight="1" outlineLevel="2">
      <c r="A651" s="779"/>
      <c r="B651" s="1132"/>
      <c r="C651" s="1133"/>
      <c r="D651" s="784"/>
      <c r="E651" s="785"/>
      <c r="F651" s="786"/>
      <c r="G651" s="786"/>
      <c r="H651" s="786"/>
      <c r="I651" s="786"/>
    </row>
    <row r="652" spans="1:9" s="787" customFormat="1" ht="30.75" hidden="1" customHeight="1" outlineLevel="2">
      <c r="A652" s="779"/>
      <c r="B652" s="1132"/>
      <c r="C652" s="1133"/>
      <c r="D652" s="784"/>
      <c r="E652" s="785"/>
      <c r="F652" s="786"/>
      <c r="G652" s="786"/>
      <c r="H652" s="786"/>
      <c r="I652" s="786"/>
    </row>
    <row r="653" spans="1:9" s="790" customFormat="1" ht="15" hidden="1" outlineLevel="2">
      <c r="A653" s="779"/>
      <c r="B653" s="1132"/>
      <c r="C653" s="1133"/>
      <c r="D653" s="788"/>
      <c r="E653" s="789"/>
      <c r="F653" s="786"/>
      <c r="G653" s="786"/>
      <c r="H653" s="786"/>
      <c r="I653" s="786"/>
    </row>
    <row r="654" spans="1:9" s="790" customFormat="1" ht="36" hidden="1" customHeight="1" outlineLevel="2">
      <c r="A654" s="779"/>
      <c r="B654" s="1132"/>
      <c r="C654" s="1133"/>
      <c r="D654" s="788"/>
      <c r="E654" s="789"/>
      <c r="F654" s="786"/>
      <c r="G654" s="786"/>
      <c r="H654" s="786"/>
      <c r="I654" s="786"/>
    </row>
    <row r="655" spans="1:9" s="790" customFormat="1" ht="15" hidden="1" outlineLevel="2">
      <c r="A655" s="779"/>
      <c r="B655" s="1132"/>
      <c r="C655" s="1133"/>
      <c r="D655" s="788"/>
      <c r="E655" s="789"/>
      <c r="F655" s="786"/>
      <c r="G655" s="786"/>
      <c r="H655" s="786"/>
      <c r="I655" s="786"/>
    </row>
    <row r="656" spans="1:9" s="790" customFormat="1" ht="30" hidden="1" customHeight="1" outlineLevel="2">
      <c r="A656" s="779"/>
      <c r="B656" s="1132"/>
      <c r="C656" s="1133"/>
      <c r="D656" s="788"/>
      <c r="E656" s="789"/>
      <c r="F656" s="786"/>
      <c r="G656" s="786"/>
      <c r="H656" s="786"/>
      <c r="I656" s="786"/>
    </row>
    <row r="657" spans="1:9" s="790" customFormat="1" ht="28.5" hidden="1" customHeight="1" outlineLevel="2">
      <c r="A657" s="779"/>
      <c r="B657" s="1132"/>
      <c r="C657" s="1133"/>
      <c r="D657" s="788"/>
      <c r="E657" s="789"/>
      <c r="F657" s="786"/>
      <c r="G657" s="786"/>
      <c r="H657" s="786"/>
      <c r="I657" s="786"/>
    </row>
    <row r="658" spans="1:9" s="790" customFormat="1" ht="28.5" hidden="1" customHeight="1" outlineLevel="2">
      <c r="A658" s="779"/>
      <c r="B658" s="1132"/>
      <c r="C658" s="1133"/>
      <c r="D658" s="788"/>
      <c r="E658" s="789"/>
      <c r="F658" s="786"/>
      <c r="G658" s="786"/>
      <c r="H658" s="786"/>
      <c r="I658" s="786"/>
    </row>
    <row r="659" spans="1:9" s="790" customFormat="1" ht="15" hidden="1" outlineLevel="2">
      <c r="A659" s="779"/>
      <c r="B659" s="1132"/>
      <c r="C659" s="1133"/>
      <c r="D659" s="784"/>
      <c r="E659" s="785"/>
      <c r="F659" s="786"/>
      <c r="G659" s="786"/>
      <c r="H659" s="786"/>
      <c r="I659" s="786"/>
    </row>
    <row r="660" spans="1:9" s="770" customFormat="1" ht="15" outlineLevel="2">
      <c r="A660" s="771"/>
      <c r="B660" s="817" t="s">
        <v>726</v>
      </c>
      <c r="C660" s="773" t="s">
        <v>559</v>
      </c>
      <c r="D660" s="774">
        <v>2100200113</v>
      </c>
      <c r="E660" s="775">
        <f>SUM(E661:E674)</f>
        <v>139800</v>
      </c>
      <c r="F660" s="776">
        <f>+[28]เรียงตามเขต!H55</f>
        <v>0</v>
      </c>
      <c r="G660" s="776">
        <f>+[28]เรียงตามเขต!I55</f>
        <v>0</v>
      </c>
      <c r="H660" s="776">
        <f>E660-F660-G660</f>
        <v>139800</v>
      </c>
      <c r="I660" s="776">
        <v>0</v>
      </c>
    </row>
    <row r="661" spans="1:9" s="783" customFormat="1" ht="47.25" customHeight="1" outlineLevel="2">
      <c r="A661" s="779"/>
      <c r="B661" s="1132" t="s">
        <v>819</v>
      </c>
      <c r="C661" s="1133"/>
      <c r="D661" s="780"/>
      <c r="E661" s="781">
        <f>+[28]เรียงตามเขต!G55</f>
        <v>139800</v>
      </c>
      <c r="F661" s="782">
        <f>+[28]เรียงตามเขต!H55</f>
        <v>0</v>
      </c>
      <c r="G661" s="782">
        <f>+[28]เรียงตามเขต!I55</f>
        <v>0</v>
      </c>
      <c r="H661" s="782"/>
      <c r="I661" s="782"/>
    </row>
    <row r="662" spans="1:9" s="783" customFormat="1" ht="15" hidden="1" outlineLevel="2">
      <c r="A662" s="779"/>
      <c r="B662" s="1132"/>
      <c r="C662" s="1133"/>
      <c r="D662" s="780"/>
      <c r="E662" s="781"/>
      <c r="F662" s="782"/>
      <c r="G662" s="782"/>
      <c r="H662" s="782"/>
      <c r="I662" s="782"/>
    </row>
    <row r="663" spans="1:9" s="783" customFormat="1" ht="18" hidden="1" customHeight="1" outlineLevel="2">
      <c r="A663" s="779"/>
      <c r="B663" s="1132"/>
      <c r="C663" s="1133"/>
      <c r="D663" s="780"/>
      <c r="E663" s="781"/>
      <c r="F663" s="782"/>
      <c r="G663" s="782"/>
      <c r="H663" s="782"/>
      <c r="I663" s="782"/>
    </row>
    <row r="664" spans="1:9" s="783" customFormat="1" ht="18" hidden="1" customHeight="1" outlineLevel="2">
      <c r="A664" s="779"/>
      <c r="B664" s="1132"/>
      <c r="C664" s="1133"/>
      <c r="D664" s="780"/>
      <c r="E664" s="781"/>
      <c r="F664" s="782"/>
      <c r="G664" s="782"/>
      <c r="H664" s="782"/>
      <c r="I664" s="782"/>
    </row>
    <row r="665" spans="1:9" s="787" customFormat="1" ht="18.75" hidden="1" customHeight="1" outlineLevel="2">
      <c r="A665" s="779"/>
      <c r="B665" s="1132"/>
      <c r="C665" s="1133"/>
      <c r="D665" s="784"/>
      <c r="E665" s="785"/>
      <c r="F665" s="786"/>
      <c r="G665" s="786"/>
      <c r="H665" s="786"/>
      <c r="I665" s="786"/>
    </row>
    <row r="666" spans="1:9" s="787" customFormat="1" ht="48.75" hidden="1" customHeight="1" outlineLevel="2">
      <c r="A666" s="779"/>
      <c r="B666" s="1132"/>
      <c r="C666" s="1133"/>
      <c r="D666" s="784"/>
      <c r="E666" s="785"/>
      <c r="F666" s="786"/>
      <c r="G666" s="786"/>
      <c r="H666" s="786"/>
      <c r="I666" s="786"/>
    </row>
    <row r="667" spans="1:9" s="787" customFormat="1" ht="33" hidden="1" customHeight="1" outlineLevel="2">
      <c r="A667" s="779"/>
      <c r="B667" s="1132"/>
      <c r="C667" s="1133"/>
      <c r="D667" s="784"/>
      <c r="E667" s="785"/>
      <c r="F667" s="786"/>
      <c r="G667" s="786"/>
      <c r="H667" s="786"/>
      <c r="I667" s="786"/>
    </row>
    <row r="668" spans="1:9" s="787" customFormat="1" ht="33" hidden="1" customHeight="1" outlineLevel="2">
      <c r="A668" s="779"/>
      <c r="B668" s="1132"/>
      <c r="C668" s="1133"/>
      <c r="D668" s="784"/>
      <c r="E668" s="785"/>
      <c r="F668" s="786"/>
      <c r="G668" s="786"/>
      <c r="H668" s="786"/>
      <c r="I668" s="786"/>
    </row>
    <row r="669" spans="1:9" s="790" customFormat="1" ht="36" hidden="1" customHeight="1" outlineLevel="2">
      <c r="A669" s="779"/>
      <c r="B669" s="1132"/>
      <c r="C669" s="1133"/>
      <c r="D669" s="788"/>
      <c r="E669" s="789"/>
      <c r="F669" s="786"/>
      <c r="G669" s="786"/>
      <c r="H669" s="786"/>
      <c r="I669" s="786"/>
    </row>
    <row r="670" spans="1:9" s="790" customFormat="1" ht="15" hidden="1" outlineLevel="2">
      <c r="A670" s="779"/>
      <c r="B670" s="1132"/>
      <c r="C670" s="1133"/>
      <c r="D670" s="788"/>
      <c r="E670" s="789"/>
      <c r="F670" s="786"/>
      <c r="G670" s="786"/>
      <c r="H670" s="786"/>
      <c r="I670" s="786"/>
    </row>
    <row r="671" spans="1:9" s="790" customFormat="1" ht="30" hidden="1" customHeight="1" outlineLevel="2">
      <c r="A671" s="779"/>
      <c r="B671" s="1132"/>
      <c r="C671" s="1133"/>
      <c r="D671" s="788"/>
      <c r="E671" s="789"/>
      <c r="F671" s="786"/>
      <c r="G671" s="786"/>
      <c r="H671" s="786"/>
      <c r="I671" s="786"/>
    </row>
    <row r="672" spans="1:9" s="790" customFormat="1" ht="28.5" hidden="1" customHeight="1" outlineLevel="2">
      <c r="A672" s="779"/>
      <c r="B672" s="1132"/>
      <c r="C672" s="1133"/>
      <c r="D672" s="788"/>
      <c r="E672" s="789"/>
      <c r="F672" s="786"/>
      <c r="G672" s="786"/>
      <c r="H672" s="786"/>
      <c r="I672" s="786"/>
    </row>
    <row r="673" spans="1:9" s="790" customFormat="1" ht="28.5" hidden="1" customHeight="1" outlineLevel="2">
      <c r="A673" s="779"/>
      <c r="B673" s="1132"/>
      <c r="C673" s="1133"/>
      <c r="D673" s="788"/>
      <c r="E673" s="789"/>
      <c r="F673" s="786"/>
      <c r="G673" s="786"/>
      <c r="H673" s="786"/>
      <c r="I673" s="786"/>
    </row>
    <row r="674" spans="1:9" s="790" customFormat="1" ht="15" hidden="1" outlineLevel="2">
      <c r="A674" s="791"/>
      <c r="B674" s="1137"/>
      <c r="C674" s="1138"/>
      <c r="D674" s="799"/>
      <c r="E674" s="800"/>
      <c r="F674" s="793"/>
      <c r="G674" s="793"/>
      <c r="H674" s="793"/>
      <c r="I674" s="793"/>
    </row>
    <row r="675" spans="1:9" s="770" customFormat="1" hidden="1" outlineLevel="1">
      <c r="A675" s="763"/>
      <c r="B675" s="764" t="s">
        <v>678</v>
      </c>
      <c r="C675" s="765"/>
      <c r="D675" s="766"/>
      <c r="E675" s="767">
        <f>E676+E693+E708+E723</f>
        <v>0</v>
      </c>
      <c r="F675" s="768">
        <f>F676+F693+F708+F723</f>
        <v>0</v>
      </c>
      <c r="G675" s="768">
        <f>G676+G693+G708+G723</f>
        <v>0</v>
      </c>
      <c r="H675" s="768">
        <f>H676+H693+H708+H723</f>
        <v>0</v>
      </c>
      <c r="I675" s="768">
        <f>SUM(I676:I723)</f>
        <v>0</v>
      </c>
    </row>
    <row r="676" spans="1:9" s="770" customFormat="1" ht="15" hidden="1" outlineLevel="2">
      <c r="A676" s="771"/>
      <c r="B676" s="772" t="s">
        <v>751</v>
      </c>
      <c r="C676" s="773" t="s">
        <v>562</v>
      </c>
      <c r="D676" s="774">
        <v>2100200133</v>
      </c>
      <c r="E676" s="775">
        <f>SUM(E677:E692)</f>
        <v>0</v>
      </c>
      <c r="F676" s="776">
        <f>+[28]เรียงตามเขต!H57</f>
        <v>0</v>
      </c>
      <c r="G676" s="776">
        <f>+[28]เรียงตามเขต!I57</f>
        <v>0</v>
      </c>
      <c r="H676" s="776">
        <f>E676-F676-G676</f>
        <v>0</v>
      </c>
      <c r="I676" s="776">
        <v>0</v>
      </c>
    </row>
    <row r="677" spans="1:9" s="783" customFormat="1" ht="47.25" hidden="1" customHeight="1" outlineLevel="2">
      <c r="A677" s="779"/>
      <c r="B677" s="1132"/>
      <c r="C677" s="1133"/>
      <c r="D677" s="780"/>
      <c r="E677" s="781"/>
      <c r="F677" s="782"/>
      <c r="G677" s="782"/>
      <c r="H677" s="782"/>
      <c r="I677" s="782"/>
    </row>
    <row r="678" spans="1:9" s="783" customFormat="1" ht="15" hidden="1" outlineLevel="2">
      <c r="A678" s="779"/>
      <c r="B678" s="1132"/>
      <c r="C678" s="1133"/>
      <c r="D678" s="780"/>
      <c r="E678" s="781"/>
      <c r="F678" s="782"/>
      <c r="G678" s="782"/>
      <c r="H678" s="782"/>
      <c r="I678" s="782"/>
    </row>
    <row r="679" spans="1:9" s="783" customFormat="1" ht="18" hidden="1" customHeight="1" outlineLevel="2">
      <c r="A679" s="779"/>
      <c r="B679" s="1132"/>
      <c r="C679" s="1133"/>
      <c r="D679" s="780"/>
      <c r="E679" s="781"/>
      <c r="F679" s="782"/>
      <c r="G679" s="782"/>
      <c r="H679" s="782"/>
      <c r="I679" s="782"/>
    </row>
    <row r="680" spans="1:9" s="783" customFormat="1" ht="18" hidden="1" customHeight="1" outlineLevel="2">
      <c r="A680" s="779"/>
      <c r="B680" s="1132"/>
      <c r="C680" s="1133"/>
      <c r="D680" s="780"/>
      <c r="E680" s="781"/>
      <c r="F680" s="782"/>
      <c r="G680" s="782"/>
      <c r="H680" s="782"/>
      <c r="I680" s="782"/>
    </row>
    <row r="681" spans="1:9" s="787" customFormat="1" ht="18.75" hidden="1" customHeight="1" outlineLevel="2">
      <c r="A681" s="779"/>
      <c r="B681" s="1132"/>
      <c r="C681" s="1133"/>
      <c r="D681" s="784"/>
      <c r="E681" s="785"/>
      <c r="F681" s="786"/>
      <c r="G681" s="786"/>
      <c r="H681" s="786"/>
      <c r="I681" s="786"/>
    </row>
    <row r="682" spans="1:9" s="790" customFormat="1" ht="48.75" hidden="1" customHeight="1" outlineLevel="2">
      <c r="A682" s="779"/>
      <c r="B682" s="1132"/>
      <c r="C682" s="1133"/>
      <c r="D682" s="784"/>
      <c r="E682" s="785"/>
      <c r="F682" s="786"/>
      <c r="G682" s="786"/>
      <c r="H682" s="786"/>
      <c r="I682" s="786"/>
    </row>
    <row r="683" spans="1:9" s="790" customFormat="1" ht="33" hidden="1" customHeight="1" outlineLevel="2">
      <c r="A683" s="779"/>
      <c r="B683" s="1132"/>
      <c r="C683" s="1133"/>
      <c r="D683" s="784"/>
      <c r="E683" s="785"/>
      <c r="F683" s="786"/>
      <c r="G683" s="786"/>
      <c r="H683" s="786"/>
      <c r="I683" s="786"/>
    </row>
    <row r="684" spans="1:9" s="790" customFormat="1" ht="33" hidden="1" customHeight="1" outlineLevel="2">
      <c r="A684" s="779"/>
      <c r="B684" s="1132"/>
      <c r="C684" s="1133"/>
      <c r="D684" s="784"/>
      <c r="E684" s="785"/>
      <c r="F684" s="786"/>
      <c r="G684" s="786"/>
      <c r="H684" s="786"/>
      <c r="I684" s="786"/>
    </row>
    <row r="685" spans="1:9" s="790" customFormat="1" ht="30.75" hidden="1" customHeight="1" outlineLevel="2">
      <c r="A685" s="779"/>
      <c r="B685" s="1132"/>
      <c r="C685" s="1133"/>
      <c r="D685" s="784"/>
      <c r="E685" s="785"/>
      <c r="F685" s="786"/>
      <c r="G685" s="786"/>
      <c r="H685" s="786"/>
      <c r="I685" s="786"/>
    </row>
    <row r="686" spans="1:9" s="790" customFormat="1" ht="15" hidden="1" outlineLevel="2">
      <c r="A686" s="779"/>
      <c r="B686" s="1132"/>
      <c r="C686" s="1133"/>
      <c r="D686" s="788"/>
      <c r="E686" s="789"/>
      <c r="F686" s="786"/>
      <c r="G686" s="786"/>
      <c r="H686" s="786"/>
      <c r="I686" s="786"/>
    </row>
    <row r="687" spans="1:9" s="790" customFormat="1" ht="36" hidden="1" customHeight="1" outlineLevel="2">
      <c r="A687" s="779"/>
      <c r="B687" s="1132"/>
      <c r="C687" s="1133"/>
      <c r="D687" s="788"/>
      <c r="E687" s="789"/>
      <c r="F687" s="786"/>
      <c r="G687" s="786"/>
      <c r="H687" s="786"/>
      <c r="I687" s="786"/>
    </row>
    <row r="688" spans="1:9" s="790" customFormat="1" ht="15" hidden="1" outlineLevel="2">
      <c r="A688" s="779"/>
      <c r="B688" s="1132"/>
      <c r="C688" s="1133"/>
      <c r="D688" s="788"/>
      <c r="E688" s="789"/>
      <c r="F688" s="786"/>
      <c r="G688" s="786"/>
      <c r="H688" s="786"/>
      <c r="I688" s="786"/>
    </row>
    <row r="689" spans="1:9" s="790" customFormat="1" ht="30" hidden="1" customHeight="1" outlineLevel="2">
      <c r="A689" s="779"/>
      <c r="B689" s="1132"/>
      <c r="C689" s="1133"/>
      <c r="D689" s="788"/>
      <c r="E689" s="789"/>
      <c r="F689" s="786"/>
      <c r="G689" s="786"/>
      <c r="H689" s="786"/>
      <c r="I689" s="786"/>
    </row>
    <row r="690" spans="1:9" s="790" customFormat="1" ht="28.5" hidden="1" customHeight="1" outlineLevel="2">
      <c r="A690" s="779"/>
      <c r="B690" s="1132"/>
      <c r="C690" s="1133"/>
      <c r="D690" s="788"/>
      <c r="E690" s="789"/>
      <c r="F690" s="786"/>
      <c r="G690" s="786"/>
      <c r="H690" s="786"/>
      <c r="I690" s="786"/>
    </row>
    <row r="691" spans="1:9" s="790" customFormat="1" ht="28.5" hidden="1" customHeight="1" outlineLevel="2">
      <c r="A691" s="779"/>
      <c r="B691" s="1132"/>
      <c r="C691" s="1133"/>
      <c r="D691" s="788"/>
      <c r="E691" s="789"/>
      <c r="F691" s="786"/>
      <c r="G691" s="786"/>
      <c r="H691" s="786"/>
      <c r="I691" s="786"/>
    </row>
    <row r="692" spans="1:9" s="790" customFormat="1" ht="15" hidden="1" outlineLevel="2">
      <c r="A692" s="779"/>
      <c r="B692" s="1141"/>
      <c r="C692" s="1142"/>
      <c r="D692" s="784"/>
      <c r="E692" s="788"/>
      <c r="F692" s="786"/>
      <c r="G692" s="786"/>
      <c r="H692" s="786"/>
      <c r="I692" s="786"/>
    </row>
    <row r="693" spans="1:9" s="770" customFormat="1" ht="15" hidden="1" outlineLevel="2">
      <c r="A693" s="771"/>
      <c r="B693" s="772" t="s">
        <v>752</v>
      </c>
      <c r="C693" s="773" t="s">
        <v>564</v>
      </c>
      <c r="D693" s="774">
        <v>2100200142</v>
      </c>
      <c r="E693" s="775">
        <f>SUM(E694:E707)</f>
        <v>0</v>
      </c>
      <c r="F693" s="776">
        <f>+[28]เรียงตามเขต!H58</f>
        <v>0</v>
      </c>
      <c r="G693" s="776">
        <f>+[28]เรียงตามเขต!I58</f>
        <v>0</v>
      </c>
      <c r="H693" s="776">
        <f>E693-F693-G693</f>
        <v>0</v>
      </c>
      <c r="I693" s="776">
        <v>0</v>
      </c>
    </row>
    <row r="694" spans="1:9" s="783" customFormat="1" ht="47.25" hidden="1" customHeight="1" outlineLevel="2">
      <c r="A694" s="779"/>
      <c r="B694" s="1132"/>
      <c r="C694" s="1133"/>
      <c r="D694" s="780"/>
      <c r="E694" s="781"/>
      <c r="F694" s="782"/>
      <c r="G694" s="782"/>
      <c r="H694" s="782"/>
      <c r="I694" s="782"/>
    </row>
    <row r="695" spans="1:9" s="783" customFormat="1" ht="15" hidden="1" outlineLevel="2">
      <c r="A695" s="779"/>
      <c r="B695" s="1132"/>
      <c r="C695" s="1133"/>
      <c r="D695" s="780"/>
      <c r="E695" s="781"/>
      <c r="F695" s="782"/>
      <c r="G695" s="782"/>
      <c r="H695" s="782"/>
      <c r="I695" s="782"/>
    </row>
    <row r="696" spans="1:9" s="783" customFormat="1" ht="18" hidden="1" customHeight="1" outlineLevel="2">
      <c r="A696" s="779"/>
      <c r="B696" s="1132"/>
      <c r="C696" s="1133"/>
      <c r="D696" s="780"/>
      <c r="E696" s="781"/>
      <c r="F696" s="782"/>
      <c r="G696" s="782"/>
      <c r="H696" s="782"/>
      <c r="I696" s="782"/>
    </row>
    <row r="697" spans="1:9" s="783" customFormat="1" ht="18" hidden="1" customHeight="1" outlineLevel="2">
      <c r="A697" s="779"/>
      <c r="B697" s="1132"/>
      <c r="C697" s="1133"/>
      <c r="D697" s="780"/>
      <c r="E697" s="781"/>
      <c r="F697" s="782"/>
      <c r="G697" s="782"/>
      <c r="H697" s="782"/>
      <c r="I697" s="782"/>
    </row>
    <row r="698" spans="1:9" s="787" customFormat="1" ht="18.75" hidden="1" customHeight="1" outlineLevel="2">
      <c r="A698" s="779"/>
      <c r="B698" s="1132"/>
      <c r="C698" s="1133"/>
      <c r="D698" s="784"/>
      <c r="E698" s="785"/>
      <c r="F698" s="786"/>
      <c r="G698" s="786"/>
      <c r="H698" s="786"/>
      <c r="I698" s="786"/>
    </row>
    <row r="699" spans="1:9" s="787" customFormat="1" ht="48.75" hidden="1" customHeight="1" outlineLevel="2">
      <c r="A699" s="779"/>
      <c r="B699" s="1132"/>
      <c r="C699" s="1133"/>
      <c r="D699" s="784"/>
      <c r="E699" s="785"/>
      <c r="F699" s="786"/>
      <c r="G699" s="786"/>
      <c r="H699" s="786"/>
      <c r="I699" s="786"/>
    </row>
    <row r="700" spans="1:9" s="787" customFormat="1" ht="33" hidden="1" customHeight="1" outlineLevel="2">
      <c r="A700" s="779"/>
      <c r="B700" s="1132"/>
      <c r="C700" s="1133"/>
      <c r="D700" s="784"/>
      <c r="E700" s="785"/>
      <c r="F700" s="786"/>
      <c r="G700" s="786"/>
      <c r="H700" s="786"/>
      <c r="I700" s="786"/>
    </row>
    <row r="701" spans="1:9" s="787" customFormat="1" ht="33" hidden="1" customHeight="1" outlineLevel="2">
      <c r="A701" s="779"/>
      <c r="B701" s="1132"/>
      <c r="C701" s="1133"/>
      <c r="D701" s="784"/>
      <c r="E701" s="785"/>
      <c r="F701" s="786"/>
      <c r="G701" s="786"/>
      <c r="H701" s="786"/>
      <c r="I701" s="786"/>
    </row>
    <row r="702" spans="1:9" s="790" customFormat="1" ht="36" hidden="1" customHeight="1" outlineLevel="2">
      <c r="A702" s="779"/>
      <c r="B702" s="1132"/>
      <c r="C702" s="1133"/>
      <c r="D702" s="788"/>
      <c r="E702" s="789"/>
      <c r="F702" s="786"/>
      <c r="G702" s="786"/>
      <c r="H702" s="786"/>
      <c r="I702" s="786"/>
    </row>
    <row r="703" spans="1:9" s="790" customFormat="1" ht="15" hidden="1" outlineLevel="2">
      <c r="A703" s="779"/>
      <c r="B703" s="1132"/>
      <c r="C703" s="1133"/>
      <c r="D703" s="788"/>
      <c r="E703" s="789"/>
      <c r="F703" s="786"/>
      <c r="G703" s="786"/>
      <c r="H703" s="786"/>
      <c r="I703" s="786"/>
    </row>
    <row r="704" spans="1:9" s="790" customFormat="1" ht="30" hidden="1" customHeight="1" outlineLevel="2">
      <c r="A704" s="779"/>
      <c r="B704" s="1132"/>
      <c r="C704" s="1133"/>
      <c r="D704" s="788"/>
      <c r="E704" s="789"/>
      <c r="F704" s="786"/>
      <c r="G704" s="786"/>
      <c r="H704" s="786"/>
      <c r="I704" s="786"/>
    </row>
    <row r="705" spans="1:9" s="790" customFormat="1" ht="28.5" hidden="1" customHeight="1" outlineLevel="2">
      <c r="A705" s="779"/>
      <c r="B705" s="1132"/>
      <c r="C705" s="1133"/>
      <c r="D705" s="788"/>
      <c r="E705" s="789"/>
      <c r="F705" s="786"/>
      <c r="G705" s="786"/>
      <c r="H705" s="786"/>
      <c r="I705" s="786"/>
    </row>
    <row r="706" spans="1:9" s="790" customFormat="1" ht="28.5" hidden="1" customHeight="1" outlineLevel="2">
      <c r="A706" s="779"/>
      <c r="B706" s="1132"/>
      <c r="C706" s="1133"/>
      <c r="D706" s="788"/>
      <c r="E706" s="789"/>
      <c r="F706" s="786"/>
      <c r="G706" s="786"/>
      <c r="H706" s="786"/>
      <c r="I706" s="786"/>
    </row>
    <row r="707" spans="1:9" s="790" customFormat="1" ht="15" hidden="1" outlineLevel="2">
      <c r="A707" s="779"/>
      <c r="B707" s="1132"/>
      <c r="C707" s="1133"/>
      <c r="D707" s="784"/>
      <c r="E707" s="786"/>
      <c r="F707" s="786"/>
      <c r="G707" s="786"/>
      <c r="H707" s="786"/>
      <c r="I707" s="786"/>
    </row>
    <row r="708" spans="1:9" s="770" customFormat="1" ht="15" hidden="1" outlineLevel="2">
      <c r="A708" s="771"/>
      <c r="B708" s="772" t="s">
        <v>753</v>
      </c>
      <c r="C708" s="773" t="s">
        <v>566</v>
      </c>
      <c r="D708" s="774">
        <v>2100200144</v>
      </c>
      <c r="E708" s="775">
        <f>SUM(E709:E722)</f>
        <v>0</v>
      </c>
      <c r="F708" s="776">
        <f>+[28]เรียงตามเขต!H59</f>
        <v>0</v>
      </c>
      <c r="G708" s="776">
        <f>+[28]เรียงตามเขต!I59</f>
        <v>0</v>
      </c>
      <c r="H708" s="776">
        <f>E708-F708-G708</f>
        <v>0</v>
      </c>
      <c r="I708" s="776">
        <v>0</v>
      </c>
    </row>
    <row r="709" spans="1:9" s="783" customFormat="1" ht="47.25" hidden="1" customHeight="1" outlineLevel="2">
      <c r="A709" s="779"/>
      <c r="B709" s="1132"/>
      <c r="C709" s="1133"/>
      <c r="D709" s="780"/>
      <c r="E709" s="781"/>
      <c r="F709" s="782"/>
      <c r="G709" s="782"/>
      <c r="H709" s="782"/>
      <c r="I709" s="782"/>
    </row>
    <row r="710" spans="1:9" s="783" customFormat="1" ht="15" hidden="1" outlineLevel="2">
      <c r="A710" s="779"/>
      <c r="B710" s="1132"/>
      <c r="C710" s="1133"/>
      <c r="D710" s="780"/>
      <c r="E710" s="781"/>
      <c r="F710" s="782"/>
      <c r="G710" s="782"/>
      <c r="H710" s="782"/>
      <c r="I710" s="782"/>
    </row>
    <row r="711" spans="1:9" s="783" customFormat="1" ht="18" hidden="1" customHeight="1" outlineLevel="2">
      <c r="A711" s="779"/>
      <c r="B711" s="1132"/>
      <c r="C711" s="1133"/>
      <c r="D711" s="780"/>
      <c r="E711" s="781"/>
      <c r="F711" s="782"/>
      <c r="G711" s="782"/>
      <c r="H711" s="782"/>
      <c r="I711" s="782"/>
    </row>
    <row r="712" spans="1:9" s="783" customFormat="1" ht="18" hidden="1" customHeight="1" outlineLevel="2">
      <c r="A712" s="779"/>
      <c r="B712" s="1132"/>
      <c r="C712" s="1133"/>
      <c r="D712" s="780"/>
      <c r="E712" s="781"/>
      <c r="F712" s="782"/>
      <c r="G712" s="782"/>
      <c r="H712" s="782"/>
      <c r="I712" s="782"/>
    </row>
    <row r="713" spans="1:9" s="787" customFormat="1" ht="18.75" hidden="1" customHeight="1" outlineLevel="2">
      <c r="A713" s="779"/>
      <c r="B713" s="1132"/>
      <c r="C713" s="1133"/>
      <c r="D713" s="784"/>
      <c r="E713" s="785"/>
      <c r="F713" s="786"/>
      <c r="G713" s="786"/>
      <c r="H713" s="786"/>
      <c r="I713" s="786"/>
    </row>
    <row r="714" spans="1:9" s="787" customFormat="1" ht="48.75" hidden="1" customHeight="1" outlineLevel="2">
      <c r="A714" s="779"/>
      <c r="B714" s="1132"/>
      <c r="C714" s="1133"/>
      <c r="D714" s="784"/>
      <c r="E714" s="785"/>
      <c r="F714" s="786"/>
      <c r="G714" s="786"/>
      <c r="H714" s="786"/>
      <c r="I714" s="786"/>
    </row>
    <row r="715" spans="1:9" s="787" customFormat="1" ht="33" hidden="1" customHeight="1" outlineLevel="2">
      <c r="A715" s="779"/>
      <c r="B715" s="1132"/>
      <c r="C715" s="1133"/>
      <c r="D715" s="784"/>
      <c r="E715" s="785"/>
      <c r="F715" s="786"/>
      <c r="G715" s="786"/>
      <c r="H715" s="786"/>
      <c r="I715" s="786"/>
    </row>
    <row r="716" spans="1:9" s="787" customFormat="1" ht="33" hidden="1" customHeight="1" outlineLevel="2">
      <c r="A716" s="779"/>
      <c r="B716" s="1132"/>
      <c r="C716" s="1133"/>
      <c r="D716" s="784"/>
      <c r="E716" s="785"/>
      <c r="F716" s="786"/>
      <c r="G716" s="786"/>
      <c r="H716" s="786"/>
      <c r="I716" s="786"/>
    </row>
    <row r="717" spans="1:9" s="790" customFormat="1" ht="36" hidden="1" customHeight="1" outlineLevel="2">
      <c r="A717" s="779"/>
      <c r="B717" s="1132"/>
      <c r="C717" s="1133"/>
      <c r="D717" s="788"/>
      <c r="E717" s="789"/>
      <c r="F717" s="786"/>
      <c r="G717" s="786"/>
      <c r="H717" s="786"/>
      <c r="I717" s="786"/>
    </row>
    <row r="718" spans="1:9" s="790" customFormat="1" ht="15" hidden="1" outlineLevel="2">
      <c r="A718" s="779"/>
      <c r="B718" s="1132"/>
      <c r="C718" s="1133"/>
      <c r="D718" s="788"/>
      <c r="E718" s="789"/>
      <c r="F718" s="786"/>
      <c r="G718" s="786"/>
      <c r="H718" s="786"/>
      <c r="I718" s="786"/>
    </row>
    <row r="719" spans="1:9" s="790" customFormat="1" ht="30" hidden="1" customHeight="1" outlineLevel="2">
      <c r="A719" s="779"/>
      <c r="B719" s="1132"/>
      <c r="C719" s="1133"/>
      <c r="D719" s="788"/>
      <c r="E719" s="789"/>
      <c r="F719" s="786"/>
      <c r="G719" s="786"/>
      <c r="H719" s="786"/>
      <c r="I719" s="786"/>
    </row>
    <row r="720" spans="1:9" s="790" customFormat="1" ht="28.5" hidden="1" customHeight="1" outlineLevel="2">
      <c r="A720" s="779"/>
      <c r="B720" s="1132"/>
      <c r="C720" s="1133"/>
      <c r="D720" s="788"/>
      <c r="E720" s="789"/>
      <c r="F720" s="786"/>
      <c r="G720" s="786"/>
      <c r="H720" s="786"/>
      <c r="I720" s="786"/>
    </row>
    <row r="721" spans="1:9" s="790" customFormat="1" ht="28.5" hidden="1" customHeight="1" outlineLevel="2">
      <c r="A721" s="779"/>
      <c r="B721" s="1132"/>
      <c r="C721" s="1133"/>
      <c r="D721" s="788"/>
      <c r="E721" s="789"/>
      <c r="F721" s="786"/>
      <c r="G721" s="786"/>
      <c r="H721" s="786"/>
      <c r="I721" s="786"/>
    </row>
    <row r="722" spans="1:9" s="790" customFormat="1" ht="15" hidden="1" outlineLevel="2">
      <c r="A722" s="791"/>
      <c r="B722" s="1137"/>
      <c r="C722" s="1138"/>
      <c r="D722" s="799"/>
      <c r="E722" s="800"/>
      <c r="F722" s="793"/>
      <c r="G722" s="793"/>
      <c r="H722" s="793"/>
      <c r="I722" s="793"/>
    </row>
    <row r="723" spans="1:9" s="770" customFormat="1" ht="15" hidden="1" outlineLevel="2">
      <c r="A723" s="771"/>
      <c r="B723" s="772" t="s">
        <v>754</v>
      </c>
      <c r="C723" s="773" t="s">
        <v>568</v>
      </c>
      <c r="D723" s="774">
        <v>2100200146</v>
      </c>
      <c r="E723" s="775">
        <f>SUM(E724:E737)</f>
        <v>0</v>
      </c>
      <c r="F723" s="776">
        <f>+[28]เรียงตามเขต!H60</f>
        <v>0</v>
      </c>
      <c r="G723" s="776">
        <f>+[28]เรียงตามเขต!I60</f>
        <v>0</v>
      </c>
      <c r="H723" s="776">
        <f>E723-F723-G723</f>
        <v>0</v>
      </c>
      <c r="I723" s="776">
        <v>0</v>
      </c>
    </row>
    <row r="724" spans="1:9" s="783" customFormat="1" ht="47.25" hidden="1" customHeight="1" outlineLevel="2">
      <c r="A724" s="779"/>
      <c r="B724" s="1132"/>
      <c r="C724" s="1133"/>
      <c r="D724" s="780"/>
      <c r="E724" s="781"/>
      <c r="F724" s="782"/>
      <c r="G724" s="782"/>
      <c r="H724" s="782"/>
      <c r="I724" s="782"/>
    </row>
    <row r="725" spans="1:9" s="783" customFormat="1" ht="15" hidden="1" outlineLevel="2">
      <c r="A725" s="779"/>
      <c r="B725" s="1132"/>
      <c r="C725" s="1133"/>
      <c r="D725" s="780"/>
      <c r="E725" s="781"/>
      <c r="F725" s="782"/>
      <c r="G725" s="782"/>
      <c r="H725" s="782"/>
      <c r="I725" s="782"/>
    </row>
    <row r="726" spans="1:9" s="783" customFormat="1" ht="18" hidden="1" customHeight="1" outlineLevel="2">
      <c r="A726" s="779"/>
      <c r="B726" s="1132"/>
      <c r="C726" s="1133"/>
      <c r="D726" s="780"/>
      <c r="E726" s="781"/>
      <c r="F726" s="782"/>
      <c r="G726" s="782"/>
      <c r="H726" s="782"/>
      <c r="I726" s="782"/>
    </row>
    <row r="727" spans="1:9" s="783" customFormat="1" ht="18" hidden="1" customHeight="1" outlineLevel="2">
      <c r="A727" s="779"/>
      <c r="B727" s="1132"/>
      <c r="C727" s="1133"/>
      <c r="D727" s="780"/>
      <c r="E727" s="781"/>
      <c r="F727" s="782"/>
      <c r="G727" s="782"/>
      <c r="H727" s="782"/>
      <c r="I727" s="782"/>
    </row>
    <row r="728" spans="1:9" s="787" customFormat="1" ht="18.75" hidden="1" customHeight="1" outlineLevel="2">
      <c r="A728" s="779"/>
      <c r="B728" s="1132"/>
      <c r="C728" s="1133"/>
      <c r="D728" s="784"/>
      <c r="E728" s="785"/>
      <c r="F728" s="786"/>
      <c r="G728" s="786"/>
      <c r="H728" s="786"/>
      <c r="I728" s="786"/>
    </row>
    <row r="729" spans="1:9" s="787" customFormat="1" ht="48.75" hidden="1" customHeight="1" outlineLevel="2">
      <c r="A729" s="779"/>
      <c r="B729" s="1132"/>
      <c r="C729" s="1133"/>
      <c r="D729" s="784"/>
      <c r="E729" s="785"/>
      <c r="F729" s="786"/>
      <c r="G729" s="786"/>
      <c r="H729" s="786"/>
      <c r="I729" s="786"/>
    </row>
    <row r="730" spans="1:9" s="787" customFormat="1" ht="33" hidden="1" customHeight="1" outlineLevel="2">
      <c r="A730" s="779"/>
      <c r="B730" s="1132"/>
      <c r="C730" s="1133"/>
      <c r="D730" s="784"/>
      <c r="E730" s="785"/>
      <c r="F730" s="786"/>
      <c r="G730" s="786"/>
      <c r="H730" s="786"/>
      <c r="I730" s="786"/>
    </row>
    <row r="731" spans="1:9" s="787" customFormat="1" ht="33" hidden="1" customHeight="1" outlineLevel="2">
      <c r="A731" s="779"/>
      <c r="B731" s="1132"/>
      <c r="C731" s="1133"/>
      <c r="D731" s="784"/>
      <c r="E731" s="785"/>
      <c r="F731" s="786"/>
      <c r="G731" s="786"/>
      <c r="H731" s="786"/>
      <c r="I731" s="786"/>
    </row>
    <row r="732" spans="1:9" s="790" customFormat="1" ht="36" hidden="1" customHeight="1" outlineLevel="2">
      <c r="A732" s="779"/>
      <c r="B732" s="1132"/>
      <c r="C732" s="1133"/>
      <c r="D732" s="788"/>
      <c r="E732" s="789"/>
      <c r="F732" s="786"/>
      <c r="G732" s="786"/>
      <c r="H732" s="786"/>
      <c r="I732" s="786"/>
    </row>
    <row r="733" spans="1:9" s="790" customFormat="1" ht="15" hidden="1" outlineLevel="2">
      <c r="A733" s="779"/>
      <c r="B733" s="1132"/>
      <c r="C733" s="1133"/>
      <c r="D733" s="788"/>
      <c r="E733" s="789"/>
      <c r="F733" s="786"/>
      <c r="G733" s="786"/>
      <c r="H733" s="786"/>
      <c r="I733" s="786"/>
    </row>
    <row r="734" spans="1:9" s="790" customFormat="1" ht="30" hidden="1" customHeight="1" outlineLevel="2">
      <c r="A734" s="779"/>
      <c r="B734" s="1132"/>
      <c r="C734" s="1133"/>
      <c r="D734" s="788"/>
      <c r="E734" s="789"/>
      <c r="F734" s="786"/>
      <c r="G734" s="786"/>
      <c r="H734" s="786"/>
      <c r="I734" s="786"/>
    </row>
    <row r="735" spans="1:9" s="790" customFormat="1" ht="28.5" hidden="1" customHeight="1" outlineLevel="2">
      <c r="A735" s="779"/>
      <c r="B735" s="1132"/>
      <c r="C735" s="1133"/>
      <c r="D735" s="788"/>
      <c r="E735" s="789"/>
      <c r="F735" s="786"/>
      <c r="G735" s="786"/>
      <c r="H735" s="786"/>
      <c r="I735" s="786"/>
    </row>
    <row r="736" spans="1:9" s="790" customFormat="1" ht="28.5" hidden="1" customHeight="1" outlineLevel="2">
      <c r="A736" s="779"/>
      <c r="B736" s="1132"/>
      <c r="C736" s="1133"/>
      <c r="D736" s="788"/>
      <c r="E736" s="789"/>
      <c r="F736" s="786"/>
      <c r="G736" s="786"/>
      <c r="H736" s="786"/>
      <c r="I736" s="786"/>
    </row>
    <row r="737" spans="1:9" s="790" customFormat="1" ht="15" hidden="1" outlineLevel="2">
      <c r="A737" s="791"/>
      <c r="B737" s="1137"/>
      <c r="C737" s="1138"/>
      <c r="D737" s="799"/>
      <c r="E737" s="800"/>
      <c r="F737" s="793"/>
      <c r="G737" s="793"/>
      <c r="H737" s="793"/>
      <c r="I737" s="793"/>
    </row>
    <row r="738" spans="1:9" s="816" customFormat="1" ht="15.75" customHeight="1" outlineLevel="1" collapsed="1">
      <c r="A738" s="824"/>
      <c r="B738" s="1145" t="s">
        <v>827</v>
      </c>
      <c r="C738" s="1146"/>
      <c r="D738" s="766"/>
      <c r="E738" s="767">
        <f>+E831+E739+E755+E770+E785+E800+E816</f>
        <v>449364</v>
      </c>
      <c r="F738" s="767">
        <f>+F831+F739+F755+F770+F785+F800+F816</f>
        <v>0</v>
      </c>
      <c r="G738" s="767">
        <f>+G831+G739+G755+G770+G785+G800+G816</f>
        <v>158466.94</v>
      </c>
      <c r="H738" s="767">
        <f>+H831+H739+H755+H770+H785+H800+H816</f>
        <v>290897.06</v>
      </c>
      <c r="I738" s="768">
        <f>SUM(I739:I831)</f>
        <v>0</v>
      </c>
    </row>
    <row r="739" spans="1:9" s="816" customFormat="1" ht="15" hidden="1" outlineLevel="2">
      <c r="A739" s="771"/>
      <c r="B739" s="772" t="s">
        <v>756</v>
      </c>
      <c r="C739" s="773" t="s">
        <v>573</v>
      </c>
      <c r="D739" s="774">
        <v>2100200131</v>
      </c>
      <c r="E739" s="775">
        <f>SUM(E740:E754)</f>
        <v>0</v>
      </c>
      <c r="F739" s="776">
        <f>+[28]เรียงตามเขต!H62</f>
        <v>0</v>
      </c>
      <c r="G739" s="776">
        <f>+[28]เรียงตามเขต!I62</f>
        <v>0</v>
      </c>
      <c r="H739" s="776">
        <f>E739-F739-G739</f>
        <v>0</v>
      </c>
      <c r="I739" s="776">
        <v>0</v>
      </c>
    </row>
    <row r="740" spans="1:9" s="783" customFormat="1" ht="47.25" hidden="1" customHeight="1" outlineLevel="2">
      <c r="A740" s="779"/>
      <c r="B740" s="1132"/>
      <c r="C740" s="1133"/>
      <c r="D740" s="780"/>
      <c r="E740" s="781"/>
      <c r="F740" s="782"/>
      <c r="G740" s="782"/>
      <c r="H740" s="782"/>
      <c r="I740" s="782"/>
    </row>
    <row r="741" spans="1:9" s="783" customFormat="1" ht="15" hidden="1" outlineLevel="2">
      <c r="A741" s="779"/>
      <c r="B741" s="1132"/>
      <c r="C741" s="1133"/>
      <c r="D741" s="780"/>
      <c r="E741" s="781"/>
      <c r="F741" s="782"/>
      <c r="G741" s="782"/>
      <c r="H741" s="782"/>
      <c r="I741" s="782"/>
    </row>
    <row r="742" spans="1:9" s="783" customFormat="1" ht="18" hidden="1" customHeight="1" outlineLevel="2">
      <c r="A742" s="779"/>
      <c r="B742" s="1132"/>
      <c r="C742" s="1133"/>
      <c r="D742" s="780"/>
      <c r="E742" s="781"/>
      <c r="F742" s="782"/>
      <c r="G742" s="782"/>
      <c r="H742" s="782"/>
      <c r="I742" s="782"/>
    </row>
    <row r="743" spans="1:9" s="783" customFormat="1" ht="18" hidden="1" customHeight="1" outlineLevel="2">
      <c r="A743" s="779"/>
      <c r="B743" s="1132"/>
      <c r="C743" s="1133"/>
      <c r="D743" s="780"/>
      <c r="E743" s="781"/>
      <c r="F743" s="782"/>
      <c r="G743" s="782"/>
      <c r="H743" s="782"/>
      <c r="I743" s="782"/>
    </row>
    <row r="744" spans="1:9" s="787" customFormat="1" ht="18.75" hidden="1" customHeight="1" outlineLevel="2">
      <c r="A744" s="779"/>
      <c r="B744" s="1132"/>
      <c r="C744" s="1133"/>
      <c r="D744" s="784"/>
      <c r="E744" s="785"/>
      <c r="F744" s="786"/>
      <c r="G744" s="786"/>
      <c r="H744" s="786"/>
      <c r="I744" s="786"/>
    </row>
    <row r="745" spans="1:9" s="787" customFormat="1" ht="48.75" hidden="1" customHeight="1" outlineLevel="2">
      <c r="A745" s="779"/>
      <c r="B745" s="1132"/>
      <c r="C745" s="1133"/>
      <c r="D745" s="784"/>
      <c r="E745" s="785"/>
      <c r="F745" s="786"/>
      <c r="G745" s="786"/>
      <c r="H745" s="786"/>
      <c r="I745" s="786"/>
    </row>
    <row r="746" spans="1:9" s="787" customFormat="1" ht="33" hidden="1" customHeight="1" outlineLevel="2">
      <c r="A746" s="779"/>
      <c r="B746" s="1132"/>
      <c r="C746" s="1133"/>
      <c r="D746" s="784"/>
      <c r="E746" s="785"/>
      <c r="F746" s="786"/>
      <c r="G746" s="786"/>
      <c r="H746" s="786"/>
      <c r="I746" s="786"/>
    </row>
    <row r="747" spans="1:9" s="787" customFormat="1" ht="33" hidden="1" customHeight="1" outlineLevel="2">
      <c r="A747" s="779"/>
      <c r="B747" s="1132"/>
      <c r="C747" s="1133"/>
      <c r="D747" s="784"/>
      <c r="E747" s="785"/>
      <c r="F747" s="786"/>
      <c r="G747" s="786"/>
      <c r="H747" s="786"/>
      <c r="I747" s="786"/>
    </row>
    <row r="748" spans="1:9" s="787" customFormat="1" ht="15" hidden="1" outlineLevel="2">
      <c r="A748" s="779"/>
      <c r="B748" s="1132"/>
      <c r="C748" s="1133"/>
      <c r="D748" s="784"/>
      <c r="E748" s="785"/>
      <c r="F748" s="786"/>
      <c r="G748" s="786"/>
      <c r="H748" s="786"/>
      <c r="I748" s="786"/>
    </row>
    <row r="749" spans="1:9" s="790" customFormat="1" ht="36" hidden="1" customHeight="1" outlineLevel="2">
      <c r="A749" s="779"/>
      <c r="B749" s="1132"/>
      <c r="C749" s="1133"/>
      <c r="D749" s="788"/>
      <c r="E749" s="789"/>
      <c r="F749" s="786"/>
      <c r="G749" s="786"/>
      <c r="H749" s="786"/>
      <c r="I749" s="786"/>
    </row>
    <row r="750" spans="1:9" s="790" customFormat="1" ht="15" hidden="1" outlineLevel="2">
      <c r="A750" s="779"/>
      <c r="B750" s="1132"/>
      <c r="C750" s="1133"/>
      <c r="D750" s="788"/>
      <c r="E750" s="789"/>
      <c r="F750" s="786"/>
      <c r="G750" s="786"/>
      <c r="H750" s="786"/>
      <c r="I750" s="786"/>
    </row>
    <row r="751" spans="1:9" s="790" customFormat="1" ht="30" hidden="1" customHeight="1" outlineLevel="2">
      <c r="A751" s="779"/>
      <c r="B751" s="1132" t="s">
        <v>821</v>
      </c>
      <c r="C751" s="1133"/>
      <c r="D751" s="788"/>
      <c r="E751" s="789">
        <v>0</v>
      </c>
      <c r="F751" s="786"/>
      <c r="G751" s="786"/>
      <c r="H751" s="786"/>
      <c r="I751" s="786"/>
    </row>
    <row r="752" spans="1:9" s="790" customFormat="1" ht="28.5" hidden="1" customHeight="1" outlineLevel="2">
      <c r="A752" s="779"/>
      <c r="B752" s="1132" t="s">
        <v>822</v>
      </c>
      <c r="C752" s="1133"/>
      <c r="D752" s="788"/>
      <c r="E752" s="789">
        <v>0</v>
      </c>
      <c r="F752" s="786"/>
      <c r="G752" s="786"/>
      <c r="H752" s="786"/>
      <c r="I752" s="786"/>
    </row>
    <row r="753" spans="1:9" s="790" customFormat="1" ht="28.5" hidden="1" customHeight="1" outlineLevel="2">
      <c r="A753" s="779"/>
      <c r="B753" s="1132" t="s">
        <v>823</v>
      </c>
      <c r="C753" s="1133"/>
      <c r="D753" s="788"/>
      <c r="E753" s="789">
        <v>0</v>
      </c>
      <c r="F753" s="786"/>
      <c r="G753" s="786"/>
      <c r="H753" s="786"/>
      <c r="I753" s="786"/>
    </row>
    <row r="754" spans="1:9" s="790" customFormat="1" ht="15" hidden="1" outlineLevel="2">
      <c r="A754" s="779"/>
      <c r="B754" s="1132"/>
      <c r="C754" s="1133"/>
      <c r="D754" s="784"/>
      <c r="E754" s="785"/>
      <c r="F754" s="786"/>
      <c r="G754" s="786"/>
      <c r="H754" s="786"/>
      <c r="I754" s="786"/>
    </row>
    <row r="755" spans="1:9" s="816" customFormat="1" ht="15" outlineLevel="2">
      <c r="A755" s="771"/>
      <c r="B755" s="772" t="s">
        <v>734</v>
      </c>
      <c r="C755" s="773" t="s">
        <v>575</v>
      </c>
      <c r="D755" s="774">
        <v>2100200136</v>
      </c>
      <c r="E755" s="775">
        <f>SUM(E756:E769)</f>
        <v>90000</v>
      </c>
      <c r="F755" s="776">
        <f>+[28]เรียงตามเขต!H63</f>
        <v>0</v>
      </c>
      <c r="G755" s="776">
        <f>+[28]เรียงตามเขต!I63</f>
        <v>34500</v>
      </c>
      <c r="H755" s="776">
        <f>E755-F755-G755</f>
        <v>55500</v>
      </c>
      <c r="I755" s="776">
        <v>0</v>
      </c>
    </row>
    <row r="756" spans="1:9" s="783" customFormat="1" ht="47.25" customHeight="1" outlineLevel="2">
      <c r="A756" s="779"/>
      <c r="B756" s="1132" t="s">
        <v>819</v>
      </c>
      <c r="C756" s="1133"/>
      <c r="D756" s="780"/>
      <c r="E756" s="781">
        <f>+[28]เรียงตามเขต!G63</f>
        <v>90000</v>
      </c>
      <c r="F756" s="782">
        <f>+[28]เรียงตามเขต!H63</f>
        <v>0</v>
      </c>
      <c r="G756" s="782">
        <f>+[28]เรียงตามเขต!I63</f>
        <v>34500</v>
      </c>
      <c r="H756" s="782"/>
      <c r="I756" s="782"/>
    </row>
    <row r="757" spans="1:9" s="783" customFormat="1" ht="15" hidden="1" outlineLevel="2">
      <c r="A757" s="779"/>
      <c r="B757" s="1132"/>
      <c r="C757" s="1133"/>
      <c r="D757" s="780"/>
      <c r="E757" s="781"/>
      <c r="F757" s="782"/>
      <c r="G757" s="782"/>
      <c r="H757" s="782"/>
      <c r="I757" s="782"/>
    </row>
    <row r="758" spans="1:9" s="783" customFormat="1" ht="18" hidden="1" customHeight="1" outlineLevel="2">
      <c r="A758" s="779"/>
      <c r="B758" s="1132"/>
      <c r="C758" s="1133"/>
      <c r="D758" s="780"/>
      <c r="E758" s="781"/>
      <c r="F758" s="782"/>
      <c r="G758" s="782"/>
      <c r="H758" s="782"/>
      <c r="I758" s="782"/>
    </row>
    <row r="759" spans="1:9" s="783" customFormat="1" ht="18" hidden="1" customHeight="1" outlineLevel="2">
      <c r="A759" s="779"/>
      <c r="B759" s="1132"/>
      <c r="C759" s="1133"/>
      <c r="D759" s="780"/>
      <c r="E759" s="781"/>
      <c r="F759" s="782"/>
      <c r="G759" s="782"/>
      <c r="H759" s="782"/>
      <c r="I759" s="782"/>
    </row>
    <row r="760" spans="1:9" s="787" customFormat="1" ht="18.75" hidden="1" customHeight="1" outlineLevel="2">
      <c r="A760" s="779"/>
      <c r="B760" s="1132"/>
      <c r="C760" s="1133"/>
      <c r="D760" s="784"/>
      <c r="E760" s="785"/>
      <c r="F760" s="786"/>
      <c r="G760" s="786"/>
      <c r="H760" s="786"/>
      <c r="I760" s="786"/>
    </row>
    <row r="761" spans="1:9" s="787" customFormat="1" ht="48.75" hidden="1" customHeight="1" outlineLevel="2">
      <c r="A761" s="779"/>
      <c r="B761" s="1132"/>
      <c r="C761" s="1133"/>
      <c r="D761" s="784"/>
      <c r="E761" s="785"/>
      <c r="F761" s="786"/>
      <c r="G761" s="786"/>
      <c r="H761" s="786"/>
      <c r="I761" s="786"/>
    </row>
    <row r="762" spans="1:9" s="787" customFormat="1" ht="33" hidden="1" customHeight="1" outlineLevel="2">
      <c r="A762" s="779"/>
      <c r="B762" s="1132"/>
      <c r="C762" s="1133"/>
      <c r="D762" s="784"/>
      <c r="E762" s="785"/>
      <c r="F762" s="786"/>
      <c r="G762" s="786"/>
      <c r="H762" s="786"/>
      <c r="I762" s="786"/>
    </row>
    <row r="763" spans="1:9" s="787" customFormat="1" ht="33" hidden="1" customHeight="1" outlineLevel="2">
      <c r="A763" s="779"/>
      <c r="B763" s="1132"/>
      <c r="C763" s="1133"/>
      <c r="D763" s="784"/>
      <c r="E763" s="785"/>
      <c r="F763" s="786"/>
      <c r="G763" s="786"/>
      <c r="H763" s="786"/>
      <c r="I763" s="786"/>
    </row>
    <row r="764" spans="1:9" s="790" customFormat="1" ht="36" hidden="1" customHeight="1" outlineLevel="2">
      <c r="A764" s="779"/>
      <c r="B764" s="1132"/>
      <c r="C764" s="1133"/>
      <c r="D764" s="788"/>
      <c r="E764" s="789"/>
      <c r="F764" s="786"/>
      <c r="G764" s="786"/>
      <c r="H764" s="786"/>
      <c r="I764" s="786"/>
    </row>
    <row r="765" spans="1:9" s="790" customFormat="1" ht="15" hidden="1" outlineLevel="2">
      <c r="A765" s="779"/>
      <c r="B765" s="1132"/>
      <c r="C765" s="1133"/>
      <c r="D765" s="788"/>
      <c r="E765" s="789"/>
      <c r="F765" s="786"/>
      <c r="G765" s="786"/>
      <c r="H765" s="786"/>
      <c r="I765" s="786"/>
    </row>
    <row r="766" spans="1:9" s="790" customFormat="1" ht="30" hidden="1" customHeight="1" outlineLevel="2">
      <c r="A766" s="779"/>
      <c r="B766" s="1132"/>
      <c r="C766" s="1133"/>
      <c r="D766" s="788"/>
      <c r="E766" s="789"/>
      <c r="F766" s="786"/>
      <c r="G766" s="786"/>
      <c r="H766" s="786"/>
      <c r="I766" s="786"/>
    </row>
    <row r="767" spans="1:9" s="790" customFormat="1" ht="28.5" hidden="1" customHeight="1" outlineLevel="2">
      <c r="A767" s="779"/>
      <c r="B767" s="1132"/>
      <c r="C767" s="1133"/>
      <c r="D767" s="788"/>
      <c r="E767" s="789"/>
      <c r="F767" s="786"/>
      <c r="G767" s="786"/>
      <c r="H767" s="786"/>
      <c r="I767" s="786"/>
    </row>
    <row r="768" spans="1:9" s="790" customFormat="1" ht="28.5" hidden="1" customHeight="1" outlineLevel="2">
      <c r="A768" s="779"/>
      <c r="B768" s="1132"/>
      <c r="C768" s="1133"/>
      <c r="D768" s="788"/>
      <c r="E768" s="789"/>
      <c r="F768" s="786"/>
      <c r="G768" s="786"/>
      <c r="H768" s="786"/>
      <c r="I768" s="786"/>
    </row>
    <row r="769" spans="1:9" s="790" customFormat="1" ht="15" hidden="1" outlineLevel="2">
      <c r="A769" s="779"/>
      <c r="B769" s="1132"/>
      <c r="C769" s="1133"/>
      <c r="D769" s="784"/>
      <c r="E769" s="785"/>
      <c r="F769" s="786"/>
      <c r="G769" s="786"/>
      <c r="H769" s="786"/>
      <c r="I769" s="786"/>
    </row>
    <row r="770" spans="1:9" s="770" customFormat="1" ht="15" outlineLevel="2">
      <c r="A770" s="771"/>
      <c r="B770" s="772" t="s">
        <v>735</v>
      </c>
      <c r="C770" s="773" t="s">
        <v>577</v>
      </c>
      <c r="D770" s="774">
        <v>2100200138</v>
      </c>
      <c r="E770" s="775">
        <f>SUM(E771:E784)</f>
        <v>81464</v>
      </c>
      <c r="F770" s="776">
        <f>+[28]เรียงตามเขต!H64</f>
        <v>0</v>
      </c>
      <c r="G770" s="776">
        <f>+[28]เรียงตามเขต!I64</f>
        <v>26166.94</v>
      </c>
      <c r="H770" s="776">
        <f>E770-F770-G770</f>
        <v>55297.06</v>
      </c>
      <c r="I770" s="776">
        <v>0</v>
      </c>
    </row>
    <row r="771" spans="1:9" s="783" customFormat="1" ht="47.25" customHeight="1" outlineLevel="2">
      <c r="A771" s="779"/>
      <c r="B771" s="1132" t="s">
        <v>819</v>
      </c>
      <c r="C771" s="1133"/>
      <c r="D771" s="780"/>
      <c r="E771" s="781">
        <f>+[28]เรียงตามเขต!G64</f>
        <v>81464</v>
      </c>
      <c r="F771" s="782">
        <f>+[28]เรียงตามเขต!H64</f>
        <v>0</v>
      </c>
      <c r="G771" s="782">
        <f>+[28]เรียงตามเขต!I64</f>
        <v>26166.94</v>
      </c>
      <c r="H771" s="782"/>
      <c r="I771" s="782"/>
    </row>
    <row r="772" spans="1:9" s="783" customFormat="1" ht="15" hidden="1" outlineLevel="2">
      <c r="A772" s="779"/>
      <c r="B772" s="1132"/>
      <c r="C772" s="1133"/>
      <c r="D772" s="780"/>
      <c r="E772" s="781"/>
      <c r="F772" s="782"/>
      <c r="G772" s="782"/>
      <c r="H772" s="782"/>
      <c r="I772" s="782"/>
    </row>
    <row r="773" spans="1:9" s="783" customFormat="1" ht="18" hidden="1" customHeight="1" outlineLevel="2">
      <c r="A773" s="779"/>
      <c r="B773" s="1132"/>
      <c r="C773" s="1133"/>
      <c r="D773" s="780"/>
      <c r="E773" s="781"/>
      <c r="F773" s="782"/>
      <c r="G773" s="782"/>
      <c r="H773" s="782"/>
      <c r="I773" s="782"/>
    </row>
    <row r="774" spans="1:9" s="783" customFormat="1" ht="18" hidden="1" customHeight="1" outlineLevel="2">
      <c r="A774" s="779"/>
      <c r="B774" s="1132"/>
      <c r="C774" s="1133"/>
      <c r="D774" s="780"/>
      <c r="E774" s="781"/>
      <c r="F774" s="782"/>
      <c r="G774" s="782"/>
      <c r="H774" s="782"/>
      <c r="I774" s="782"/>
    </row>
    <row r="775" spans="1:9" s="787" customFormat="1" ht="18.75" hidden="1" customHeight="1" outlineLevel="2">
      <c r="A775" s="791"/>
      <c r="B775" s="1137"/>
      <c r="C775" s="1138"/>
      <c r="D775" s="799"/>
      <c r="E775" s="800"/>
      <c r="F775" s="793"/>
      <c r="G775" s="793"/>
      <c r="H775" s="793"/>
      <c r="I775" s="793"/>
    </row>
    <row r="776" spans="1:9" s="787" customFormat="1" ht="48.75" hidden="1" customHeight="1" outlineLevel="2">
      <c r="A776" s="779"/>
      <c r="B776" s="1132"/>
      <c r="C776" s="1133"/>
      <c r="D776" s="784"/>
      <c r="E776" s="785"/>
      <c r="F776" s="786"/>
      <c r="G776" s="786"/>
      <c r="H776" s="786"/>
      <c r="I776" s="786"/>
    </row>
    <row r="777" spans="1:9" s="787" customFormat="1" ht="33" hidden="1" customHeight="1" outlineLevel="2">
      <c r="A777" s="779"/>
      <c r="B777" s="1132"/>
      <c r="C777" s="1133"/>
      <c r="D777" s="784"/>
      <c r="E777" s="785"/>
      <c r="F777" s="786"/>
      <c r="G777" s="786"/>
      <c r="H777" s="786"/>
      <c r="I777" s="786"/>
    </row>
    <row r="778" spans="1:9" s="787" customFormat="1" ht="33" hidden="1" customHeight="1" outlineLevel="2">
      <c r="A778" s="779"/>
      <c r="B778" s="1132"/>
      <c r="C778" s="1133"/>
      <c r="D778" s="784"/>
      <c r="E778" s="785"/>
      <c r="F778" s="786"/>
      <c r="G778" s="786"/>
      <c r="H778" s="786"/>
      <c r="I778" s="786"/>
    </row>
    <row r="779" spans="1:9" s="790" customFormat="1" ht="36" hidden="1" customHeight="1" outlineLevel="2">
      <c r="A779" s="779"/>
      <c r="B779" s="1132"/>
      <c r="C779" s="1133"/>
      <c r="D779" s="788"/>
      <c r="E779" s="789"/>
      <c r="F779" s="786"/>
      <c r="G779" s="786"/>
      <c r="H779" s="786"/>
      <c r="I779" s="786"/>
    </row>
    <row r="780" spans="1:9" s="790" customFormat="1" ht="15" hidden="1" outlineLevel="2">
      <c r="A780" s="779"/>
      <c r="B780" s="1132"/>
      <c r="C780" s="1133"/>
      <c r="D780" s="788"/>
      <c r="E780" s="789"/>
      <c r="F780" s="786"/>
      <c r="G780" s="786"/>
      <c r="H780" s="786"/>
      <c r="I780" s="786"/>
    </row>
    <row r="781" spans="1:9" s="790" customFormat="1" ht="30" hidden="1" customHeight="1" outlineLevel="2">
      <c r="A781" s="779"/>
      <c r="B781" s="1132"/>
      <c r="C781" s="1133"/>
      <c r="D781" s="788"/>
      <c r="E781" s="789"/>
      <c r="F781" s="786"/>
      <c r="G781" s="786"/>
      <c r="H781" s="786"/>
      <c r="I781" s="786"/>
    </row>
    <row r="782" spans="1:9" s="790" customFormat="1" ht="28.5" hidden="1" customHeight="1" outlineLevel="2">
      <c r="A782" s="779"/>
      <c r="B782" s="1132"/>
      <c r="C782" s="1133"/>
      <c r="D782" s="788"/>
      <c r="E782" s="789"/>
      <c r="F782" s="786"/>
      <c r="G782" s="786"/>
      <c r="H782" s="786"/>
      <c r="I782" s="786"/>
    </row>
    <row r="783" spans="1:9" s="790" customFormat="1" ht="28.5" hidden="1" customHeight="1" outlineLevel="2">
      <c r="A783" s="779"/>
      <c r="B783" s="1132"/>
      <c r="C783" s="1133"/>
      <c r="D783" s="788"/>
      <c r="E783" s="789"/>
      <c r="F783" s="786"/>
      <c r="G783" s="786"/>
      <c r="H783" s="786"/>
      <c r="I783" s="786"/>
    </row>
    <row r="784" spans="1:9" s="790" customFormat="1" ht="15" hidden="1" outlineLevel="2">
      <c r="A784" s="791"/>
      <c r="B784" s="1137"/>
      <c r="C784" s="1138"/>
      <c r="D784" s="799"/>
      <c r="E784" s="800"/>
      <c r="F784" s="793"/>
      <c r="G784" s="793"/>
      <c r="H784" s="793"/>
      <c r="I784" s="793"/>
    </row>
    <row r="785" spans="1:9" s="770" customFormat="1" ht="15" hidden="1" outlineLevel="2">
      <c r="A785" s="771"/>
      <c r="B785" s="772" t="s">
        <v>759</v>
      </c>
      <c r="C785" s="773" t="s">
        <v>579</v>
      </c>
      <c r="D785" s="774">
        <v>2100200140</v>
      </c>
      <c r="E785" s="775">
        <f>SUM(E786:E799)</f>
        <v>0</v>
      </c>
      <c r="F785" s="776">
        <f>+[28]เรียงตามเขต!H65</f>
        <v>0</v>
      </c>
      <c r="G785" s="776">
        <f>+[28]เรียงตามเขต!I65</f>
        <v>0</v>
      </c>
      <c r="H785" s="776">
        <f>E785-F785-G785</f>
        <v>0</v>
      </c>
      <c r="I785" s="776">
        <v>0</v>
      </c>
    </row>
    <row r="786" spans="1:9" s="783" customFormat="1" ht="47.25" hidden="1" customHeight="1" outlineLevel="2">
      <c r="A786" s="779"/>
      <c r="B786" s="1132"/>
      <c r="C786" s="1133"/>
      <c r="D786" s="780"/>
      <c r="E786" s="781"/>
      <c r="F786" s="782"/>
      <c r="G786" s="782"/>
      <c r="H786" s="782"/>
      <c r="I786" s="782"/>
    </row>
    <row r="787" spans="1:9" s="783" customFormat="1" ht="15" hidden="1" outlineLevel="2">
      <c r="A787" s="779"/>
      <c r="B787" s="1132"/>
      <c r="C787" s="1133"/>
      <c r="D787" s="780"/>
      <c r="E787" s="781"/>
      <c r="F787" s="782"/>
      <c r="G787" s="782"/>
      <c r="H787" s="782"/>
      <c r="I787" s="782"/>
    </row>
    <row r="788" spans="1:9" s="783" customFormat="1" ht="18" hidden="1" customHeight="1" outlineLevel="2">
      <c r="A788" s="779"/>
      <c r="B788" s="1132"/>
      <c r="C788" s="1133"/>
      <c r="D788" s="780"/>
      <c r="E788" s="781"/>
      <c r="F788" s="782"/>
      <c r="G788" s="782"/>
      <c r="H788" s="782"/>
      <c r="I788" s="782"/>
    </row>
    <row r="789" spans="1:9" s="783" customFormat="1" ht="18" hidden="1" customHeight="1" outlineLevel="2">
      <c r="A789" s="779"/>
      <c r="B789" s="1132"/>
      <c r="C789" s="1133"/>
      <c r="D789" s="780"/>
      <c r="E789" s="781"/>
      <c r="F789" s="782"/>
      <c r="G789" s="782"/>
      <c r="H789" s="782"/>
      <c r="I789" s="782"/>
    </row>
    <row r="790" spans="1:9" s="787" customFormat="1" ht="18.75" hidden="1" customHeight="1" outlineLevel="2">
      <c r="A790" s="779"/>
      <c r="B790" s="1132"/>
      <c r="C790" s="1133"/>
      <c r="D790" s="784"/>
      <c r="E790" s="785"/>
      <c r="F790" s="786"/>
      <c r="G790" s="786"/>
      <c r="H790" s="786"/>
      <c r="I790" s="786"/>
    </row>
    <row r="791" spans="1:9" s="787" customFormat="1" ht="48.75" hidden="1" customHeight="1" outlineLevel="2">
      <c r="A791" s="779"/>
      <c r="B791" s="1132"/>
      <c r="C791" s="1133"/>
      <c r="D791" s="784"/>
      <c r="E791" s="785"/>
      <c r="F791" s="786"/>
      <c r="G791" s="786"/>
      <c r="H791" s="786"/>
      <c r="I791" s="786"/>
    </row>
    <row r="792" spans="1:9" s="787" customFormat="1" ht="33" hidden="1" customHeight="1" outlineLevel="2">
      <c r="A792" s="779"/>
      <c r="B792" s="1132"/>
      <c r="C792" s="1133"/>
      <c r="D792" s="784"/>
      <c r="E792" s="785"/>
      <c r="F792" s="786"/>
      <c r="G792" s="786"/>
      <c r="H792" s="786"/>
      <c r="I792" s="786"/>
    </row>
    <row r="793" spans="1:9" s="787" customFormat="1" ht="33" hidden="1" customHeight="1" outlineLevel="2">
      <c r="A793" s="779"/>
      <c r="B793" s="1132"/>
      <c r="C793" s="1133"/>
      <c r="D793" s="784"/>
      <c r="E793" s="785"/>
      <c r="F793" s="786"/>
      <c r="G793" s="786"/>
      <c r="H793" s="786"/>
      <c r="I793" s="786"/>
    </row>
    <row r="794" spans="1:9" s="790" customFormat="1" ht="36" hidden="1" customHeight="1" outlineLevel="2">
      <c r="A794" s="779"/>
      <c r="B794" s="1132"/>
      <c r="C794" s="1133"/>
      <c r="D794" s="788"/>
      <c r="E794" s="789"/>
      <c r="F794" s="786"/>
      <c r="G794" s="786"/>
      <c r="H794" s="786"/>
      <c r="I794" s="786"/>
    </row>
    <row r="795" spans="1:9" s="790" customFormat="1" ht="15" hidden="1" outlineLevel="2">
      <c r="A795" s="779"/>
      <c r="B795" s="1132"/>
      <c r="C795" s="1133"/>
      <c r="D795" s="788"/>
      <c r="E795" s="789"/>
      <c r="F795" s="786"/>
      <c r="G795" s="786"/>
      <c r="H795" s="786"/>
      <c r="I795" s="786"/>
    </row>
    <row r="796" spans="1:9" s="790" customFormat="1" ht="30" hidden="1" customHeight="1" outlineLevel="2">
      <c r="A796" s="779"/>
      <c r="B796" s="1132"/>
      <c r="C796" s="1133"/>
      <c r="D796" s="788"/>
      <c r="E796" s="789"/>
      <c r="F796" s="786"/>
      <c r="G796" s="786"/>
      <c r="H796" s="786"/>
      <c r="I796" s="786"/>
    </row>
    <row r="797" spans="1:9" s="790" customFormat="1" ht="28.5" hidden="1" customHeight="1" outlineLevel="2">
      <c r="A797" s="779"/>
      <c r="B797" s="1132"/>
      <c r="C797" s="1133"/>
      <c r="D797" s="788"/>
      <c r="E797" s="789"/>
      <c r="F797" s="786"/>
      <c r="G797" s="786"/>
      <c r="H797" s="786"/>
      <c r="I797" s="786"/>
    </row>
    <row r="798" spans="1:9" s="790" customFormat="1" ht="28.5" hidden="1" customHeight="1" outlineLevel="2">
      <c r="A798" s="779"/>
      <c r="B798" s="1132"/>
      <c r="C798" s="1133"/>
      <c r="D798" s="788"/>
      <c r="E798" s="789"/>
      <c r="F798" s="786"/>
      <c r="G798" s="786"/>
      <c r="H798" s="786"/>
      <c r="I798" s="786"/>
    </row>
    <row r="799" spans="1:9" s="790" customFormat="1" ht="15" hidden="1" customHeight="1" outlineLevel="2">
      <c r="A799" s="779"/>
      <c r="B799" s="1141"/>
      <c r="C799" s="1142"/>
      <c r="D799" s="788"/>
      <c r="E799" s="788"/>
      <c r="F799" s="786"/>
      <c r="G799" s="786"/>
      <c r="H799" s="786"/>
      <c r="I799" s="786"/>
    </row>
    <row r="800" spans="1:9" s="770" customFormat="1" ht="15" hidden="1" outlineLevel="2">
      <c r="A800" s="771"/>
      <c r="B800" s="772" t="s">
        <v>760</v>
      </c>
      <c r="C800" s="773" t="s">
        <v>581</v>
      </c>
      <c r="D800" s="774">
        <v>2100200148</v>
      </c>
      <c r="E800" s="775">
        <f>SUM(E801:E815)</f>
        <v>0</v>
      </c>
      <c r="F800" s="776">
        <f>+[28]เรียงตามเขต!H66</f>
        <v>0</v>
      </c>
      <c r="G800" s="776">
        <f>+[28]เรียงตามเขต!I66</f>
        <v>0</v>
      </c>
      <c r="H800" s="776">
        <f>E800-F800-G800</f>
        <v>0</v>
      </c>
      <c r="I800" s="776">
        <v>0</v>
      </c>
    </row>
    <row r="801" spans="1:9" s="783" customFormat="1" ht="47.25" hidden="1" customHeight="1" outlineLevel="2">
      <c r="A801" s="779"/>
      <c r="B801" s="1132"/>
      <c r="C801" s="1133"/>
      <c r="D801" s="780"/>
      <c r="E801" s="781"/>
      <c r="F801" s="782"/>
      <c r="G801" s="782"/>
      <c r="H801" s="782"/>
      <c r="I801" s="782"/>
    </row>
    <row r="802" spans="1:9" s="783" customFormat="1" ht="15" hidden="1" outlineLevel="2">
      <c r="A802" s="779"/>
      <c r="B802" s="1132"/>
      <c r="C802" s="1133"/>
      <c r="D802" s="780"/>
      <c r="E802" s="781"/>
      <c r="F802" s="782"/>
      <c r="G802" s="782"/>
      <c r="H802" s="782"/>
      <c r="I802" s="782"/>
    </row>
    <row r="803" spans="1:9" s="783" customFormat="1" ht="18" hidden="1" customHeight="1" outlineLevel="2">
      <c r="A803" s="779"/>
      <c r="B803" s="1132"/>
      <c r="C803" s="1133"/>
      <c r="D803" s="780"/>
      <c r="E803" s="781"/>
      <c r="F803" s="782"/>
      <c r="G803" s="782"/>
      <c r="H803" s="782"/>
      <c r="I803" s="782"/>
    </row>
    <row r="804" spans="1:9" s="783" customFormat="1" ht="18" hidden="1" customHeight="1" outlineLevel="2">
      <c r="A804" s="779"/>
      <c r="B804" s="1132"/>
      <c r="C804" s="1133"/>
      <c r="D804" s="780"/>
      <c r="E804" s="781"/>
      <c r="F804" s="782"/>
      <c r="G804" s="782"/>
      <c r="H804" s="782"/>
      <c r="I804" s="782"/>
    </row>
    <row r="805" spans="1:9" s="787" customFormat="1" ht="18.75" hidden="1" customHeight="1" outlineLevel="2">
      <c r="A805" s="779"/>
      <c r="B805" s="1132"/>
      <c r="C805" s="1133"/>
      <c r="D805" s="784"/>
      <c r="E805" s="785"/>
      <c r="F805" s="786"/>
      <c r="G805" s="786"/>
      <c r="H805" s="786"/>
      <c r="I805" s="786"/>
    </row>
    <row r="806" spans="1:9" s="787" customFormat="1" ht="48.75" hidden="1" customHeight="1" outlineLevel="2">
      <c r="A806" s="779"/>
      <c r="B806" s="1132"/>
      <c r="C806" s="1133"/>
      <c r="D806" s="784"/>
      <c r="E806" s="785"/>
      <c r="F806" s="786"/>
      <c r="G806" s="786"/>
      <c r="H806" s="786"/>
      <c r="I806" s="786"/>
    </row>
    <row r="807" spans="1:9" s="787" customFormat="1" ht="33" hidden="1" customHeight="1" outlineLevel="2">
      <c r="A807" s="779"/>
      <c r="B807" s="1132"/>
      <c r="C807" s="1133"/>
      <c r="D807" s="784"/>
      <c r="E807" s="785"/>
      <c r="F807" s="786"/>
      <c r="G807" s="786"/>
      <c r="H807" s="786"/>
      <c r="I807" s="786"/>
    </row>
    <row r="808" spans="1:9" s="787" customFormat="1" ht="33" hidden="1" customHeight="1" outlineLevel="2">
      <c r="A808" s="779"/>
      <c r="B808" s="1132"/>
      <c r="C808" s="1133"/>
      <c r="D808" s="784"/>
      <c r="E808" s="785"/>
      <c r="F808" s="786"/>
      <c r="G808" s="786"/>
      <c r="H808" s="786"/>
      <c r="I808" s="786"/>
    </row>
    <row r="809" spans="1:9" s="787" customFormat="1" ht="30.75" hidden="1" customHeight="1" outlineLevel="2">
      <c r="A809" s="779"/>
      <c r="B809" s="1132"/>
      <c r="C809" s="1133"/>
      <c r="D809" s="784"/>
      <c r="E809" s="785"/>
      <c r="F809" s="786"/>
      <c r="G809" s="786"/>
      <c r="H809" s="786"/>
      <c r="I809" s="786"/>
    </row>
    <row r="810" spans="1:9" s="790" customFormat="1" ht="36" hidden="1" customHeight="1" outlineLevel="2">
      <c r="A810" s="779"/>
      <c r="B810" s="1132"/>
      <c r="C810" s="1133"/>
      <c r="D810" s="788"/>
      <c r="E810" s="789"/>
      <c r="F810" s="786"/>
      <c r="G810" s="786"/>
      <c r="H810" s="786"/>
      <c r="I810" s="786"/>
    </row>
    <row r="811" spans="1:9" s="790" customFormat="1" ht="15" hidden="1" outlineLevel="2">
      <c r="A811" s="779"/>
      <c r="B811" s="1132"/>
      <c r="C811" s="1133"/>
      <c r="D811" s="788"/>
      <c r="E811" s="789"/>
      <c r="F811" s="786"/>
      <c r="G811" s="786"/>
      <c r="H811" s="786"/>
      <c r="I811" s="786"/>
    </row>
    <row r="812" spans="1:9" s="790" customFormat="1" ht="30" hidden="1" customHeight="1" outlineLevel="2">
      <c r="A812" s="779"/>
      <c r="B812" s="1132"/>
      <c r="C812" s="1133"/>
      <c r="D812" s="788"/>
      <c r="E812" s="789"/>
      <c r="F812" s="786"/>
      <c r="G812" s="786"/>
      <c r="H812" s="786"/>
      <c r="I812" s="786"/>
    </row>
    <row r="813" spans="1:9" s="790" customFormat="1" ht="28.5" hidden="1" customHeight="1" outlineLevel="2">
      <c r="A813" s="779"/>
      <c r="B813" s="1132"/>
      <c r="C813" s="1133"/>
      <c r="D813" s="788"/>
      <c r="E813" s="789"/>
      <c r="F813" s="786"/>
      <c r="G813" s="786"/>
      <c r="H813" s="786"/>
      <c r="I813" s="786"/>
    </row>
    <row r="814" spans="1:9" s="790" customFormat="1" ht="28.5" hidden="1" customHeight="1" outlineLevel="2">
      <c r="A814" s="779"/>
      <c r="B814" s="1132"/>
      <c r="C814" s="1133"/>
      <c r="D814" s="788"/>
      <c r="E814" s="789"/>
      <c r="F814" s="786"/>
      <c r="G814" s="786"/>
      <c r="H814" s="786"/>
      <c r="I814" s="786"/>
    </row>
    <row r="815" spans="1:9" s="790" customFormat="1" ht="15" hidden="1" customHeight="1" outlineLevel="2">
      <c r="A815" s="779"/>
      <c r="B815" s="1141"/>
      <c r="C815" s="1142"/>
      <c r="D815" s="784"/>
      <c r="E815" s="788"/>
      <c r="F815" s="786"/>
      <c r="G815" s="786"/>
      <c r="H815" s="786"/>
      <c r="I815" s="786"/>
    </row>
    <row r="816" spans="1:9" s="770" customFormat="1" ht="15" outlineLevel="2">
      <c r="A816" s="771"/>
      <c r="B816" s="772" t="s">
        <v>736</v>
      </c>
      <c r="C816" s="773" t="s">
        <v>583</v>
      </c>
      <c r="D816" s="774">
        <v>2100200150</v>
      </c>
      <c r="E816" s="775">
        <f>SUM(E817:E830)</f>
        <v>184300</v>
      </c>
      <c r="F816" s="776">
        <f>+[28]เรียงตามเขต!H67</f>
        <v>0</v>
      </c>
      <c r="G816" s="776">
        <f>+[28]เรียงตามเขต!I67</f>
        <v>79800</v>
      </c>
      <c r="H816" s="776">
        <f>E816-F816-G816</f>
        <v>104500</v>
      </c>
      <c r="I816" s="776">
        <v>0</v>
      </c>
    </row>
    <row r="817" spans="1:9" s="783" customFormat="1" ht="45.75" customHeight="1" outlineLevel="2">
      <c r="A817" s="779"/>
      <c r="B817" s="1132" t="s">
        <v>819</v>
      </c>
      <c r="C817" s="1133"/>
      <c r="D817" s="780"/>
      <c r="E817" s="781">
        <f>+[28]เรียงตามเขต!G67</f>
        <v>184300</v>
      </c>
      <c r="F817" s="782">
        <f>+[28]เรียงตามเขต!H67</f>
        <v>0</v>
      </c>
      <c r="G817" s="782">
        <f>+[28]เรียงตามเขต!I67</f>
        <v>79800</v>
      </c>
      <c r="H817" s="782"/>
      <c r="I817" s="782"/>
    </row>
    <row r="818" spans="1:9" s="783" customFormat="1" ht="15" hidden="1" outlineLevel="2">
      <c r="A818" s="779"/>
      <c r="B818" s="1132"/>
      <c r="C818" s="1133"/>
      <c r="D818" s="780"/>
      <c r="E818" s="781"/>
      <c r="F818" s="782"/>
      <c r="G818" s="782"/>
      <c r="H818" s="782"/>
      <c r="I818" s="782"/>
    </row>
    <row r="819" spans="1:9" s="783" customFormat="1" ht="15" hidden="1" customHeight="1" outlineLevel="2">
      <c r="A819" s="779"/>
      <c r="B819" s="1132"/>
      <c r="C819" s="1133"/>
      <c r="D819" s="780"/>
      <c r="E819" s="781"/>
      <c r="F819" s="782"/>
      <c r="G819" s="782"/>
      <c r="H819" s="782"/>
      <c r="I819" s="782"/>
    </row>
    <row r="820" spans="1:9" s="783" customFormat="1" ht="18" hidden="1" customHeight="1" outlineLevel="2">
      <c r="A820" s="779"/>
      <c r="B820" s="1132"/>
      <c r="C820" s="1133"/>
      <c r="D820" s="780"/>
      <c r="E820" s="781"/>
      <c r="F820" s="782"/>
      <c r="G820" s="782"/>
      <c r="H820" s="782"/>
      <c r="I820" s="782"/>
    </row>
    <row r="821" spans="1:9" s="787" customFormat="1" ht="18.75" hidden="1" customHeight="1" outlineLevel="2">
      <c r="A821" s="779"/>
      <c r="B821" s="1132"/>
      <c r="C821" s="1133"/>
      <c r="D821" s="784"/>
      <c r="E821" s="785"/>
      <c r="F821" s="786"/>
      <c r="G821" s="786"/>
      <c r="H821" s="786"/>
      <c r="I821" s="786"/>
    </row>
    <row r="822" spans="1:9" s="787" customFormat="1" ht="48.75" hidden="1" customHeight="1" outlineLevel="2">
      <c r="A822" s="779"/>
      <c r="B822" s="1132"/>
      <c r="C822" s="1133"/>
      <c r="D822" s="784"/>
      <c r="E822" s="785"/>
      <c r="F822" s="786"/>
      <c r="G822" s="786"/>
      <c r="H822" s="786"/>
      <c r="I822" s="786"/>
    </row>
    <row r="823" spans="1:9" s="787" customFormat="1" ht="27.75" hidden="1" customHeight="1" outlineLevel="2">
      <c r="A823" s="779"/>
      <c r="B823" s="1132"/>
      <c r="C823" s="1133"/>
      <c r="D823" s="784"/>
      <c r="E823" s="785"/>
      <c r="F823" s="786"/>
      <c r="G823" s="786"/>
      <c r="H823" s="786"/>
      <c r="I823" s="786"/>
    </row>
    <row r="824" spans="1:9" s="787" customFormat="1" ht="33" hidden="1" customHeight="1" outlineLevel="2">
      <c r="A824" s="779"/>
      <c r="B824" s="1132"/>
      <c r="C824" s="1133"/>
      <c r="D824" s="784"/>
      <c r="E824" s="785"/>
      <c r="F824" s="786"/>
      <c r="G824" s="786"/>
      <c r="H824" s="786"/>
      <c r="I824" s="786"/>
    </row>
    <row r="825" spans="1:9" s="790" customFormat="1" ht="29.25" hidden="1" customHeight="1" outlineLevel="2">
      <c r="A825" s="779"/>
      <c r="B825" s="1132"/>
      <c r="C825" s="1133"/>
      <c r="D825" s="788"/>
      <c r="E825" s="789"/>
      <c r="F825" s="786"/>
      <c r="G825" s="786"/>
      <c r="H825" s="786"/>
      <c r="I825" s="786"/>
    </row>
    <row r="826" spans="1:9" s="790" customFormat="1" ht="15" hidden="1" outlineLevel="2">
      <c r="A826" s="779"/>
      <c r="B826" s="1132"/>
      <c r="C826" s="1133"/>
      <c r="D826" s="788"/>
      <c r="E826" s="789"/>
      <c r="F826" s="786"/>
      <c r="G826" s="786"/>
      <c r="H826" s="786"/>
      <c r="I826" s="786"/>
    </row>
    <row r="827" spans="1:9" s="790" customFormat="1" ht="30" hidden="1" customHeight="1" outlineLevel="2">
      <c r="A827" s="779"/>
      <c r="B827" s="1132"/>
      <c r="C827" s="1133"/>
      <c r="D827" s="788"/>
      <c r="E827" s="789"/>
      <c r="F827" s="786"/>
      <c r="G827" s="786"/>
      <c r="H827" s="786"/>
      <c r="I827" s="786"/>
    </row>
    <row r="828" spans="1:9" s="790" customFormat="1" ht="28.5" hidden="1" customHeight="1" outlineLevel="2">
      <c r="A828" s="779"/>
      <c r="B828" s="1132"/>
      <c r="C828" s="1133"/>
      <c r="D828" s="788"/>
      <c r="E828" s="789"/>
      <c r="F828" s="786"/>
      <c r="G828" s="786"/>
      <c r="H828" s="786"/>
      <c r="I828" s="786"/>
    </row>
    <row r="829" spans="1:9" s="790" customFormat="1" ht="28.5" hidden="1" customHeight="1" outlineLevel="2">
      <c r="A829" s="779"/>
      <c r="B829" s="1132"/>
      <c r="C829" s="1133"/>
      <c r="D829" s="788"/>
      <c r="E829" s="789"/>
      <c r="F829" s="786"/>
      <c r="G829" s="786"/>
      <c r="H829" s="786"/>
      <c r="I829" s="786"/>
    </row>
    <row r="830" spans="1:9" s="790" customFormat="1" ht="15" hidden="1" outlineLevel="2">
      <c r="A830" s="791"/>
      <c r="B830" s="1137"/>
      <c r="C830" s="1138"/>
      <c r="D830" s="799"/>
      <c r="E830" s="800"/>
      <c r="F830" s="793"/>
      <c r="G830" s="793"/>
      <c r="H830" s="793"/>
      <c r="I830" s="793"/>
    </row>
    <row r="831" spans="1:9" s="770" customFormat="1" ht="15" outlineLevel="2">
      <c r="A831" s="771"/>
      <c r="B831" s="825" t="s">
        <v>737</v>
      </c>
      <c r="C831" s="826" t="s">
        <v>571</v>
      </c>
      <c r="D831" s="774">
        <v>2100200264</v>
      </c>
      <c r="E831" s="775">
        <f>SUM(E832:E845)</f>
        <v>93600</v>
      </c>
      <c r="F831" s="776">
        <f>+[28]เรียงตามเขต!H68</f>
        <v>0</v>
      </c>
      <c r="G831" s="776">
        <f>+[28]เรียงตามเขต!I68</f>
        <v>18000</v>
      </c>
      <c r="H831" s="776">
        <f>E831-F831-G831</f>
        <v>75600</v>
      </c>
      <c r="I831" s="776">
        <v>0</v>
      </c>
    </row>
    <row r="832" spans="1:9" s="783" customFormat="1" ht="47.25" customHeight="1" outlineLevel="2">
      <c r="A832" s="779"/>
      <c r="B832" s="1132" t="s">
        <v>819</v>
      </c>
      <c r="C832" s="1133"/>
      <c r="D832" s="780"/>
      <c r="E832" s="781">
        <f>+[28]เรียงตามเขต!G68</f>
        <v>93600</v>
      </c>
      <c r="F832" s="782">
        <f>+[28]เรียงตามเขต!H68</f>
        <v>0</v>
      </c>
      <c r="G832" s="782">
        <f>+[28]เรียงตามเขต!I68</f>
        <v>18000</v>
      </c>
      <c r="H832" s="782"/>
      <c r="I832" s="782"/>
    </row>
    <row r="833" spans="1:9" s="783" customFormat="1" ht="15" hidden="1" outlineLevel="2">
      <c r="A833" s="779"/>
      <c r="B833" s="1132"/>
      <c r="C833" s="1133"/>
      <c r="D833" s="780"/>
      <c r="E833" s="781"/>
      <c r="F833" s="782"/>
      <c r="G833" s="782"/>
      <c r="H833" s="782"/>
      <c r="I833" s="782"/>
    </row>
    <row r="834" spans="1:9" s="783" customFormat="1" ht="18" hidden="1" customHeight="1" outlineLevel="2">
      <c r="A834" s="779"/>
      <c r="B834" s="1132"/>
      <c r="C834" s="1133"/>
      <c r="D834" s="780"/>
      <c r="E834" s="781"/>
      <c r="F834" s="782"/>
      <c r="G834" s="782"/>
      <c r="H834" s="782"/>
      <c r="I834" s="782"/>
    </row>
    <row r="835" spans="1:9" s="783" customFormat="1" ht="18" hidden="1" customHeight="1" outlineLevel="2">
      <c r="A835" s="779"/>
      <c r="B835" s="1132"/>
      <c r="C835" s="1133"/>
      <c r="D835" s="780"/>
      <c r="E835" s="781"/>
      <c r="F835" s="782"/>
      <c r="G835" s="782"/>
      <c r="H835" s="782"/>
      <c r="I835" s="782"/>
    </row>
    <row r="836" spans="1:9" s="787" customFormat="1" ht="18.75" hidden="1" customHeight="1" outlineLevel="2">
      <c r="A836" s="779"/>
      <c r="B836" s="1132"/>
      <c r="C836" s="1133"/>
      <c r="D836" s="784"/>
      <c r="E836" s="785"/>
      <c r="F836" s="786"/>
      <c r="G836" s="786"/>
      <c r="H836" s="786"/>
      <c r="I836" s="786"/>
    </row>
    <row r="837" spans="1:9" s="787" customFormat="1" ht="48.75" hidden="1" customHeight="1" outlineLevel="2">
      <c r="A837" s="779"/>
      <c r="B837" s="1132"/>
      <c r="C837" s="1133"/>
      <c r="D837" s="784"/>
      <c r="E837" s="785"/>
      <c r="F837" s="786"/>
      <c r="G837" s="786"/>
      <c r="H837" s="786"/>
      <c r="I837" s="786"/>
    </row>
    <row r="838" spans="1:9" s="787" customFormat="1" ht="33" hidden="1" customHeight="1" outlineLevel="2">
      <c r="A838" s="779"/>
      <c r="B838" s="1132"/>
      <c r="C838" s="1133"/>
      <c r="D838" s="784"/>
      <c r="E838" s="785"/>
      <c r="F838" s="786"/>
      <c r="G838" s="786"/>
      <c r="H838" s="786"/>
      <c r="I838" s="786"/>
    </row>
    <row r="839" spans="1:9" s="787" customFormat="1" ht="33" hidden="1" customHeight="1" outlineLevel="2">
      <c r="A839" s="779"/>
      <c r="B839" s="1132"/>
      <c r="C839" s="1133"/>
      <c r="D839" s="784"/>
      <c r="E839" s="785"/>
      <c r="F839" s="786"/>
      <c r="G839" s="786"/>
      <c r="H839" s="786"/>
      <c r="I839" s="786"/>
    </row>
    <row r="840" spans="1:9" s="790" customFormat="1" ht="36" hidden="1" customHeight="1" outlineLevel="2">
      <c r="A840" s="779"/>
      <c r="B840" s="1132"/>
      <c r="C840" s="1133"/>
      <c r="D840" s="788"/>
      <c r="E840" s="789"/>
      <c r="F840" s="786"/>
      <c r="G840" s="786"/>
      <c r="H840" s="786"/>
      <c r="I840" s="786"/>
    </row>
    <row r="841" spans="1:9" s="790" customFormat="1" ht="15" hidden="1" outlineLevel="2">
      <c r="A841" s="779"/>
      <c r="B841" s="1132"/>
      <c r="C841" s="1133"/>
      <c r="D841" s="788"/>
      <c r="E841" s="789"/>
      <c r="F841" s="786"/>
      <c r="G841" s="786"/>
      <c r="H841" s="786"/>
      <c r="I841" s="786"/>
    </row>
    <row r="842" spans="1:9" s="790" customFormat="1" ht="30" hidden="1" customHeight="1" outlineLevel="2">
      <c r="A842" s="779"/>
      <c r="B842" s="1132"/>
      <c r="C842" s="1133"/>
      <c r="D842" s="788"/>
      <c r="E842" s="789"/>
      <c r="F842" s="786"/>
      <c r="G842" s="786"/>
      <c r="H842" s="786"/>
      <c r="I842" s="786"/>
    </row>
    <row r="843" spans="1:9" s="790" customFormat="1" ht="28.5" hidden="1" customHeight="1" outlineLevel="2">
      <c r="A843" s="779"/>
      <c r="B843" s="1132"/>
      <c r="C843" s="1133"/>
      <c r="D843" s="788"/>
      <c r="E843" s="789"/>
      <c r="F843" s="786"/>
      <c r="G843" s="786"/>
      <c r="H843" s="786"/>
      <c r="I843" s="786"/>
    </row>
    <row r="844" spans="1:9" s="790" customFormat="1" ht="28.5" hidden="1" customHeight="1" outlineLevel="2">
      <c r="A844" s="779"/>
      <c r="B844" s="1132"/>
      <c r="C844" s="1133"/>
      <c r="D844" s="788"/>
      <c r="E844" s="789"/>
      <c r="F844" s="786"/>
      <c r="G844" s="786"/>
      <c r="H844" s="786"/>
      <c r="I844" s="786"/>
    </row>
    <row r="845" spans="1:9" s="790" customFormat="1" ht="15" hidden="1" outlineLevel="2">
      <c r="A845" s="791"/>
      <c r="B845" s="1139"/>
      <c r="C845" s="1140"/>
      <c r="D845" s="799"/>
      <c r="E845" s="792"/>
      <c r="F845" s="793"/>
      <c r="G845" s="793"/>
      <c r="H845" s="793"/>
      <c r="I845" s="793"/>
    </row>
    <row r="846" spans="1:9" s="770" customFormat="1" ht="15" hidden="1" outlineLevel="1">
      <c r="A846" s="827"/>
      <c r="B846" s="828" t="s">
        <v>680</v>
      </c>
      <c r="C846" s="829"/>
      <c r="D846" s="830"/>
      <c r="E846" s="831">
        <f>E847+E862+E880+E895</f>
        <v>0</v>
      </c>
      <c r="F846" s="831">
        <f>F847+F862+F880+F895</f>
        <v>0</v>
      </c>
      <c r="G846" s="831">
        <f>G847+G862+G880+G895</f>
        <v>0</v>
      </c>
      <c r="H846" s="831">
        <f>H847+H862+H880+H895</f>
        <v>0</v>
      </c>
      <c r="I846" s="832" t="e">
        <f>G846*100/E846</f>
        <v>#DIV/0!</v>
      </c>
    </row>
    <row r="847" spans="1:9" s="770" customFormat="1" ht="15" hidden="1" outlineLevel="2">
      <c r="A847" s="810"/>
      <c r="B847" s="833" t="s">
        <v>763</v>
      </c>
      <c r="C847" s="812" t="s">
        <v>586</v>
      </c>
      <c r="D847" s="813">
        <v>2100200115</v>
      </c>
      <c r="E847" s="814">
        <f>SUM(E848:E861)</f>
        <v>0</v>
      </c>
      <c r="F847" s="815">
        <f>+[28]เรียงตามเขต!H70</f>
        <v>0</v>
      </c>
      <c r="G847" s="815">
        <f>+[28]เรียงตามเขต!I70</f>
        <v>0</v>
      </c>
      <c r="H847" s="815">
        <f>E847-F847-G847</f>
        <v>0</v>
      </c>
      <c r="I847" s="815">
        <v>0</v>
      </c>
    </row>
    <row r="848" spans="1:9" s="783" customFormat="1" ht="47.25" hidden="1" customHeight="1" outlineLevel="2">
      <c r="A848" s="779"/>
      <c r="B848" s="1132"/>
      <c r="C848" s="1133"/>
      <c r="D848" s="780"/>
      <c r="E848" s="781"/>
      <c r="F848" s="782"/>
      <c r="G848" s="782"/>
      <c r="H848" s="782"/>
      <c r="I848" s="782"/>
    </row>
    <row r="849" spans="1:9" s="783" customFormat="1" ht="15" hidden="1" outlineLevel="2">
      <c r="A849" s="779"/>
      <c r="B849" s="1132"/>
      <c r="C849" s="1133"/>
      <c r="D849" s="780"/>
      <c r="E849" s="781"/>
      <c r="F849" s="782"/>
      <c r="G849" s="782"/>
      <c r="H849" s="782"/>
      <c r="I849" s="782"/>
    </row>
    <row r="850" spans="1:9" s="783" customFormat="1" ht="18" hidden="1" customHeight="1" outlineLevel="2">
      <c r="A850" s="779"/>
      <c r="B850" s="1132"/>
      <c r="C850" s="1133"/>
      <c r="D850" s="780"/>
      <c r="E850" s="781"/>
      <c r="F850" s="782"/>
      <c r="G850" s="782"/>
      <c r="H850" s="782"/>
      <c r="I850" s="782"/>
    </row>
    <row r="851" spans="1:9" s="783" customFormat="1" ht="18" hidden="1" customHeight="1" outlineLevel="2">
      <c r="A851" s="779"/>
      <c r="B851" s="1132"/>
      <c r="C851" s="1133"/>
      <c r="D851" s="780"/>
      <c r="E851" s="781"/>
      <c r="F851" s="782"/>
      <c r="G851" s="782"/>
      <c r="H851" s="782"/>
      <c r="I851" s="782"/>
    </row>
    <row r="852" spans="1:9" s="787" customFormat="1" ht="18.75" hidden="1" customHeight="1" outlineLevel="2">
      <c r="A852" s="779"/>
      <c r="B852" s="1132"/>
      <c r="C852" s="1133"/>
      <c r="D852" s="784"/>
      <c r="E852" s="785"/>
      <c r="F852" s="786"/>
      <c r="G852" s="786"/>
      <c r="H852" s="786"/>
      <c r="I852" s="786"/>
    </row>
    <row r="853" spans="1:9" s="787" customFormat="1" ht="48.75" hidden="1" customHeight="1" outlineLevel="2">
      <c r="A853" s="779"/>
      <c r="B853" s="1132"/>
      <c r="C853" s="1133"/>
      <c r="D853" s="784"/>
      <c r="E853" s="785"/>
      <c r="F853" s="786"/>
      <c r="G853" s="786"/>
      <c r="H853" s="786"/>
      <c r="I853" s="786"/>
    </row>
    <row r="854" spans="1:9" s="787" customFormat="1" ht="33" hidden="1" customHeight="1" outlineLevel="2">
      <c r="A854" s="779"/>
      <c r="B854" s="1132"/>
      <c r="C854" s="1133"/>
      <c r="D854" s="784"/>
      <c r="E854" s="785"/>
      <c r="F854" s="786"/>
      <c r="G854" s="786"/>
      <c r="H854" s="786"/>
      <c r="I854" s="786"/>
    </row>
    <row r="855" spans="1:9" s="787" customFormat="1" ht="33" hidden="1" customHeight="1" outlineLevel="2">
      <c r="A855" s="779"/>
      <c r="B855" s="1132"/>
      <c r="C855" s="1133"/>
      <c r="D855" s="784"/>
      <c r="E855" s="785"/>
      <c r="F855" s="786"/>
      <c r="G855" s="786"/>
      <c r="H855" s="786"/>
      <c r="I855" s="786"/>
    </row>
    <row r="856" spans="1:9" s="790" customFormat="1" ht="36" hidden="1" customHeight="1" outlineLevel="2">
      <c r="A856" s="779"/>
      <c r="B856" s="1132"/>
      <c r="C856" s="1133"/>
      <c r="D856" s="788"/>
      <c r="E856" s="789"/>
      <c r="F856" s="786"/>
      <c r="G856" s="786"/>
      <c r="H856" s="786"/>
      <c r="I856" s="786"/>
    </row>
    <row r="857" spans="1:9" s="790" customFormat="1" ht="15" hidden="1" outlineLevel="2">
      <c r="A857" s="779"/>
      <c r="B857" s="1132"/>
      <c r="C857" s="1133"/>
      <c r="D857" s="788"/>
      <c r="E857" s="789"/>
      <c r="F857" s="786"/>
      <c r="G857" s="786"/>
      <c r="H857" s="786"/>
      <c r="I857" s="786"/>
    </row>
    <row r="858" spans="1:9" s="790" customFormat="1" ht="30" hidden="1" customHeight="1" outlineLevel="2">
      <c r="A858" s="779"/>
      <c r="B858" s="1132"/>
      <c r="C858" s="1133"/>
      <c r="D858" s="788"/>
      <c r="E858" s="789"/>
      <c r="F858" s="786"/>
      <c r="G858" s="786"/>
      <c r="H858" s="786"/>
      <c r="I858" s="786"/>
    </row>
    <row r="859" spans="1:9" s="790" customFormat="1" ht="28.5" hidden="1" customHeight="1" outlineLevel="2">
      <c r="A859" s="779"/>
      <c r="B859" s="1132"/>
      <c r="C859" s="1133"/>
      <c r="D859" s="788"/>
      <c r="E859" s="789"/>
      <c r="F859" s="786"/>
      <c r="G859" s="786"/>
      <c r="H859" s="786"/>
      <c r="I859" s="786"/>
    </row>
    <row r="860" spans="1:9" s="790" customFormat="1" ht="28.5" hidden="1" customHeight="1" outlineLevel="2">
      <c r="A860" s="779"/>
      <c r="B860" s="1132"/>
      <c r="C860" s="1133"/>
      <c r="D860" s="788"/>
      <c r="E860" s="789"/>
      <c r="F860" s="786"/>
      <c r="G860" s="786"/>
      <c r="H860" s="786"/>
      <c r="I860" s="786"/>
    </row>
    <row r="861" spans="1:9" s="790" customFormat="1" ht="15" hidden="1" outlineLevel="2">
      <c r="A861" s="779"/>
      <c r="B861" s="1141"/>
      <c r="C861" s="1142"/>
      <c r="D861" s="784"/>
      <c r="E861" s="788"/>
      <c r="F861" s="786"/>
      <c r="G861" s="786"/>
      <c r="H861" s="786"/>
      <c r="I861" s="786"/>
    </row>
    <row r="862" spans="1:9" s="770" customFormat="1" ht="15" hidden="1" outlineLevel="2">
      <c r="A862" s="771"/>
      <c r="B862" s="772" t="s">
        <v>764</v>
      </c>
      <c r="C862" s="773" t="s">
        <v>588</v>
      </c>
      <c r="D862" s="774">
        <v>2100200117</v>
      </c>
      <c r="E862" s="775">
        <f>SUM(E863:E879)</f>
        <v>0</v>
      </c>
      <c r="F862" s="776">
        <f>+[28]เรียงตามเขต!H71</f>
        <v>0</v>
      </c>
      <c r="G862" s="776">
        <f>+[28]เรียงตามเขต!I71</f>
        <v>0</v>
      </c>
      <c r="H862" s="776">
        <f>E862-F862-G862</f>
        <v>0</v>
      </c>
      <c r="I862" s="776" t="e">
        <f>G862*100/E862</f>
        <v>#DIV/0!</v>
      </c>
    </row>
    <row r="863" spans="1:9" s="783" customFormat="1" ht="37.5" hidden="1" customHeight="1" outlineLevel="2">
      <c r="A863" s="779"/>
      <c r="B863" s="1147"/>
      <c r="C863" s="1148"/>
      <c r="D863" s="834">
        <v>2100236001009000</v>
      </c>
      <c r="E863" s="781">
        <v>0</v>
      </c>
      <c r="F863" s="782">
        <f>+[28]เรียงตามเขต!H71</f>
        <v>0</v>
      </c>
      <c r="G863" s="782">
        <f>+[28]เรียงตามเขต!I71</f>
        <v>0</v>
      </c>
      <c r="H863" s="782">
        <f>+E863-F863-G863</f>
        <v>0</v>
      </c>
      <c r="I863" s="776" t="e">
        <f>G863*100/E863</f>
        <v>#DIV/0!</v>
      </c>
    </row>
    <row r="864" spans="1:9" s="783" customFormat="1" ht="15" hidden="1" outlineLevel="2">
      <c r="A864" s="779"/>
      <c r="B864" s="1132"/>
      <c r="C864" s="1133"/>
      <c r="D864" s="780"/>
      <c r="E864" s="781"/>
      <c r="F864" s="782"/>
      <c r="G864" s="782"/>
      <c r="H864" s="782"/>
      <c r="I864" s="782"/>
    </row>
    <row r="865" spans="1:9" s="783" customFormat="1" ht="18" hidden="1" customHeight="1" outlineLevel="2">
      <c r="A865" s="779"/>
      <c r="B865" s="1132"/>
      <c r="C865" s="1133"/>
      <c r="D865" s="780"/>
      <c r="E865" s="781"/>
      <c r="F865" s="782"/>
      <c r="G865" s="782"/>
      <c r="H865" s="782"/>
      <c r="I865" s="782"/>
    </row>
    <row r="866" spans="1:9" s="783" customFormat="1" ht="18" hidden="1" customHeight="1" outlineLevel="2">
      <c r="A866" s="779"/>
      <c r="B866" s="1132"/>
      <c r="C866" s="1133"/>
      <c r="D866" s="780"/>
      <c r="E866" s="781"/>
      <c r="F866" s="782"/>
      <c r="G866" s="782"/>
      <c r="H866" s="782"/>
      <c r="I866" s="782"/>
    </row>
    <row r="867" spans="1:9" s="787" customFormat="1" ht="18.75" hidden="1" customHeight="1" outlineLevel="2">
      <c r="A867" s="779"/>
      <c r="B867" s="1132"/>
      <c r="C867" s="1133"/>
      <c r="D867" s="784"/>
      <c r="E867" s="785"/>
      <c r="F867" s="786"/>
      <c r="G867" s="786"/>
      <c r="H867" s="786"/>
      <c r="I867" s="786"/>
    </row>
    <row r="868" spans="1:9" s="787" customFormat="1" ht="48.75" hidden="1" customHeight="1" outlineLevel="2">
      <c r="A868" s="779"/>
      <c r="B868" s="1132"/>
      <c r="C868" s="1133"/>
      <c r="D868" s="784"/>
      <c r="E868" s="785"/>
      <c r="F868" s="786"/>
      <c r="G868" s="786"/>
      <c r="H868" s="786"/>
      <c r="I868" s="786"/>
    </row>
    <row r="869" spans="1:9" s="787" customFormat="1" ht="33" hidden="1" customHeight="1" outlineLevel="2">
      <c r="A869" s="779"/>
      <c r="B869" s="1132"/>
      <c r="C869" s="1133"/>
      <c r="D869" s="784"/>
      <c r="E869" s="785"/>
      <c r="F869" s="786"/>
      <c r="G869" s="786"/>
      <c r="H869" s="786"/>
      <c r="I869" s="786"/>
    </row>
    <row r="870" spans="1:9" s="787" customFormat="1" ht="33" hidden="1" customHeight="1" outlineLevel="2">
      <c r="A870" s="779"/>
      <c r="B870" s="1132"/>
      <c r="C870" s="1133"/>
      <c r="D870" s="784"/>
      <c r="E870" s="785"/>
      <c r="F870" s="786"/>
      <c r="G870" s="786"/>
      <c r="H870" s="786"/>
      <c r="I870" s="786"/>
    </row>
    <row r="871" spans="1:9" s="787" customFormat="1" ht="30.75" hidden="1" customHeight="1" outlineLevel="2">
      <c r="A871" s="779"/>
      <c r="B871" s="1132"/>
      <c r="C871" s="1133"/>
      <c r="D871" s="784"/>
      <c r="E871" s="785"/>
      <c r="F871" s="786"/>
      <c r="G871" s="786"/>
      <c r="H871" s="786"/>
      <c r="I871" s="786"/>
    </row>
    <row r="872" spans="1:9" s="790" customFormat="1" ht="36" hidden="1" customHeight="1" outlineLevel="2">
      <c r="A872" s="779"/>
      <c r="B872" s="1132"/>
      <c r="C872" s="1133"/>
      <c r="D872" s="788"/>
      <c r="E872" s="789"/>
      <c r="F872" s="786"/>
      <c r="G872" s="786"/>
      <c r="H872" s="786"/>
      <c r="I872" s="786"/>
    </row>
    <row r="873" spans="1:9" s="790" customFormat="1" ht="15" hidden="1" outlineLevel="2">
      <c r="A873" s="779"/>
      <c r="B873" s="1132"/>
      <c r="C873" s="1133"/>
      <c r="D873" s="788"/>
      <c r="E873" s="789"/>
      <c r="F873" s="786"/>
      <c r="G873" s="786"/>
      <c r="H873" s="786"/>
      <c r="I873" s="786"/>
    </row>
    <row r="874" spans="1:9" s="790" customFormat="1" ht="30" hidden="1" customHeight="1" outlineLevel="2">
      <c r="A874" s="779"/>
      <c r="B874" s="1132"/>
      <c r="C874" s="1133"/>
      <c r="D874" s="788"/>
      <c r="E874" s="789"/>
      <c r="F874" s="786"/>
      <c r="G874" s="786"/>
      <c r="H874" s="786"/>
      <c r="I874" s="786"/>
    </row>
    <row r="875" spans="1:9" s="790" customFormat="1" ht="28.5" hidden="1" customHeight="1" outlineLevel="2">
      <c r="A875" s="779"/>
      <c r="B875" s="1132"/>
      <c r="C875" s="1133"/>
      <c r="D875" s="788"/>
      <c r="E875" s="789"/>
      <c r="F875" s="786"/>
      <c r="G875" s="786"/>
      <c r="H875" s="786"/>
      <c r="I875" s="786"/>
    </row>
    <row r="876" spans="1:9" s="790" customFormat="1" ht="28.5" hidden="1" customHeight="1" outlineLevel="2">
      <c r="A876" s="779"/>
      <c r="B876" s="1132"/>
      <c r="C876" s="1133"/>
      <c r="D876" s="788"/>
      <c r="E876" s="789"/>
      <c r="F876" s="786"/>
      <c r="G876" s="786"/>
      <c r="H876" s="786"/>
      <c r="I876" s="786"/>
    </row>
    <row r="877" spans="1:9" s="790" customFormat="1" ht="28.5" hidden="1" customHeight="1" outlineLevel="2">
      <c r="A877" s="779"/>
      <c r="B877" s="1132"/>
      <c r="C877" s="1133"/>
      <c r="D877" s="788"/>
      <c r="E877" s="789"/>
      <c r="F877" s="786"/>
      <c r="G877" s="786"/>
      <c r="H877" s="786"/>
      <c r="I877" s="786"/>
    </row>
    <row r="878" spans="1:9" s="804" customFormat="1" ht="15" hidden="1" outlineLevel="2">
      <c r="A878" s="822"/>
      <c r="B878" s="1141"/>
      <c r="C878" s="1142"/>
      <c r="D878" s="788"/>
      <c r="E878" s="788"/>
      <c r="F878" s="823"/>
      <c r="G878" s="823"/>
      <c r="H878" s="823"/>
      <c r="I878" s="823"/>
    </row>
    <row r="879" spans="1:9" s="790" customFormat="1" ht="15" hidden="1" outlineLevel="2">
      <c r="A879" s="791"/>
      <c r="B879" s="1137"/>
      <c r="C879" s="1138"/>
      <c r="D879" s="799"/>
      <c r="E879" s="800"/>
      <c r="F879" s="793"/>
      <c r="G879" s="793"/>
      <c r="H879" s="793"/>
      <c r="I879" s="793"/>
    </row>
    <row r="880" spans="1:9" s="770" customFormat="1" ht="15" hidden="1" outlineLevel="2">
      <c r="A880" s="771"/>
      <c r="B880" s="772" t="s">
        <v>765</v>
      </c>
      <c r="C880" s="773" t="s">
        <v>590</v>
      </c>
      <c r="D880" s="774">
        <v>2100200119</v>
      </c>
      <c r="E880" s="775">
        <f>SUM(E881:E894)</f>
        <v>0</v>
      </c>
      <c r="F880" s="776">
        <f>+[28]เรียงตามเขต!H72</f>
        <v>0</v>
      </c>
      <c r="G880" s="776">
        <f>+[28]เรียงตามเขต!I72</f>
        <v>0</v>
      </c>
      <c r="H880" s="776">
        <f>E880-F880-G880</f>
        <v>0</v>
      </c>
      <c r="I880" s="776">
        <v>0</v>
      </c>
    </row>
    <row r="881" spans="1:9" s="783" customFormat="1" ht="47.25" hidden="1" customHeight="1" outlineLevel="2">
      <c r="A881" s="779"/>
      <c r="B881" s="1132"/>
      <c r="C881" s="1133"/>
      <c r="D881" s="780"/>
      <c r="E881" s="781"/>
      <c r="F881" s="782"/>
      <c r="G881" s="782"/>
      <c r="H881" s="782"/>
      <c r="I881" s="782"/>
    </row>
    <row r="882" spans="1:9" s="783" customFormat="1" ht="15" hidden="1" outlineLevel="2">
      <c r="A882" s="779"/>
      <c r="B882" s="1132"/>
      <c r="C882" s="1133"/>
      <c r="D882" s="780"/>
      <c r="E882" s="781"/>
      <c r="F882" s="782"/>
      <c r="G882" s="782"/>
      <c r="H882" s="782"/>
      <c r="I882" s="782"/>
    </row>
    <row r="883" spans="1:9" s="783" customFormat="1" ht="18" hidden="1" customHeight="1" outlineLevel="2">
      <c r="A883" s="779"/>
      <c r="B883" s="1132"/>
      <c r="C883" s="1133"/>
      <c r="D883" s="780"/>
      <c r="E883" s="781"/>
      <c r="F883" s="782"/>
      <c r="G883" s="782"/>
      <c r="H883" s="782"/>
      <c r="I883" s="782"/>
    </row>
    <row r="884" spans="1:9" s="783" customFormat="1" ht="18" hidden="1" customHeight="1" outlineLevel="2">
      <c r="A884" s="779"/>
      <c r="B884" s="1132"/>
      <c r="C884" s="1133"/>
      <c r="D884" s="780"/>
      <c r="E884" s="781"/>
      <c r="F884" s="782"/>
      <c r="G884" s="782"/>
      <c r="H884" s="782"/>
      <c r="I884" s="782"/>
    </row>
    <row r="885" spans="1:9" s="787" customFormat="1" ht="18.75" hidden="1" customHeight="1" outlineLevel="2">
      <c r="A885" s="779"/>
      <c r="B885" s="1132"/>
      <c r="C885" s="1133"/>
      <c r="D885" s="784"/>
      <c r="E885" s="785"/>
      <c r="F885" s="786"/>
      <c r="G885" s="786"/>
      <c r="H885" s="786"/>
      <c r="I885" s="786"/>
    </row>
    <row r="886" spans="1:9" s="787" customFormat="1" ht="48.75" hidden="1" customHeight="1" outlineLevel="2">
      <c r="A886" s="779"/>
      <c r="B886" s="1132"/>
      <c r="C886" s="1133"/>
      <c r="D886" s="784"/>
      <c r="E886" s="785"/>
      <c r="F886" s="786"/>
      <c r="G886" s="786"/>
      <c r="H886" s="786"/>
      <c r="I886" s="786"/>
    </row>
    <row r="887" spans="1:9" s="787" customFormat="1" ht="33" hidden="1" customHeight="1" outlineLevel="2">
      <c r="A887" s="779"/>
      <c r="B887" s="1132"/>
      <c r="C887" s="1133"/>
      <c r="D887" s="784"/>
      <c r="E887" s="785"/>
      <c r="F887" s="786"/>
      <c r="G887" s="786"/>
      <c r="H887" s="786"/>
      <c r="I887" s="786"/>
    </row>
    <row r="888" spans="1:9" s="787" customFormat="1" ht="33.75" hidden="1" customHeight="1" outlineLevel="2">
      <c r="A888" s="779"/>
      <c r="B888" s="1132"/>
      <c r="C888" s="1133"/>
      <c r="D888" s="784"/>
      <c r="E888" s="785"/>
      <c r="F888" s="786"/>
      <c r="G888" s="786"/>
      <c r="H888" s="786"/>
      <c r="I888" s="786"/>
    </row>
    <row r="889" spans="1:9" s="790" customFormat="1" ht="36" hidden="1" customHeight="1" outlineLevel="2">
      <c r="A889" s="779"/>
      <c r="B889" s="1132"/>
      <c r="C889" s="1133"/>
      <c r="D889" s="788"/>
      <c r="E889" s="789"/>
      <c r="F889" s="786"/>
      <c r="G889" s="786"/>
      <c r="H889" s="786"/>
      <c r="I889" s="786"/>
    </row>
    <row r="890" spans="1:9" s="790" customFormat="1" ht="15" hidden="1" outlineLevel="2">
      <c r="A890" s="779"/>
      <c r="B890" s="1132"/>
      <c r="C890" s="1133"/>
      <c r="D890" s="788"/>
      <c r="E890" s="789"/>
      <c r="F890" s="786"/>
      <c r="G890" s="786"/>
      <c r="H890" s="786"/>
      <c r="I890" s="786"/>
    </row>
    <row r="891" spans="1:9" s="790" customFormat="1" ht="30" hidden="1" customHeight="1" outlineLevel="2">
      <c r="A891" s="779"/>
      <c r="B891" s="1132"/>
      <c r="C891" s="1133"/>
      <c r="D891" s="788"/>
      <c r="E891" s="789"/>
      <c r="F891" s="786"/>
      <c r="G891" s="786"/>
      <c r="H891" s="786"/>
      <c r="I891" s="786"/>
    </row>
    <row r="892" spans="1:9" s="790" customFormat="1" ht="28.5" hidden="1" customHeight="1" outlineLevel="2">
      <c r="A892" s="779"/>
      <c r="B892" s="1132"/>
      <c r="C892" s="1133"/>
      <c r="D892" s="788"/>
      <c r="E892" s="789"/>
      <c r="F892" s="786"/>
      <c r="G892" s="786"/>
      <c r="H892" s="786"/>
      <c r="I892" s="786"/>
    </row>
    <row r="893" spans="1:9" s="790" customFormat="1" ht="28.5" hidden="1" customHeight="1" outlineLevel="2">
      <c r="A893" s="779"/>
      <c r="B893" s="1132"/>
      <c r="C893" s="1133"/>
      <c r="D893" s="788"/>
      <c r="E893" s="789"/>
      <c r="F893" s="786"/>
      <c r="G893" s="786"/>
      <c r="H893" s="786"/>
      <c r="I893" s="786"/>
    </row>
    <row r="894" spans="1:9" s="790" customFormat="1" ht="15" hidden="1" outlineLevel="2">
      <c r="A894" s="779"/>
      <c r="B894" s="1141"/>
      <c r="C894" s="1142"/>
      <c r="D894" s="784"/>
      <c r="E894" s="788"/>
      <c r="F894" s="786"/>
      <c r="G894" s="786"/>
      <c r="H894" s="786"/>
      <c r="I894" s="786"/>
    </row>
    <row r="895" spans="1:9" s="770" customFormat="1" ht="15" hidden="1" outlineLevel="2">
      <c r="A895" s="771"/>
      <c r="B895" s="772" t="s">
        <v>766</v>
      </c>
      <c r="C895" s="773" t="s">
        <v>592</v>
      </c>
      <c r="D895" s="774">
        <v>2100200127</v>
      </c>
      <c r="E895" s="775">
        <f>SUM(E896:E909)</f>
        <v>0</v>
      </c>
      <c r="F895" s="776">
        <f>+[28]เรียงตามเขต!H73</f>
        <v>0</v>
      </c>
      <c r="G895" s="776">
        <f>+[28]เรียงตามเขต!I73</f>
        <v>0</v>
      </c>
      <c r="H895" s="776">
        <f>E895-F895-G895</f>
        <v>0</v>
      </c>
      <c r="I895" s="776">
        <v>0</v>
      </c>
    </row>
    <row r="896" spans="1:9" s="783" customFormat="1" ht="47.25" hidden="1" customHeight="1" outlineLevel="2">
      <c r="A896" s="779"/>
      <c r="B896" s="1132"/>
      <c r="C896" s="1133"/>
      <c r="D896" s="780"/>
      <c r="E896" s="781"/>
      <c r="F896" s="782"/>
      <c r="G896" s="782"/>
      <c r="H896" s="782"/>
      <c r="I896" s="782"/>
    </row>
    <row r="897" spans="1:9" s="783" customFormat="1" ht="15" hidden="1" outlineLevel="2">
      <c r="A897" s="779"/>
      <c r="B897" s="1132"/>
      <c r="C897" s="1133"/>
      <c r="D897" s="780"/>
      <c r="E897" s="781"/>
      <c r="F897" s="782"/>
      <c r="G897" s="782"/>
      <c r="H897" s="782"/>
      <c r="I897" s="782"/>
    </row>
    <row r="898" spans="1:9" s="783" customFormat="1" ht="18" hidden="1" customHeight="1" outlineLevel="2">
      <c r="A898" s="779"/>
      <c r="B898" s="1132"/>
      <c r="C898" s="1133"/>
      <c r="D898" s="780"/>
      <c r="E898" s="781"/>
      <c r="F898" s="782"/>
      <c r="G898" s="782"/>
      <c r="H898" s="782"/>
      <c r="I898" s="782"/>
    </row>
    <row r="899" spans="1:9" s="783" customFormat="1" ht="18" hidden="1" customHeight="1" outlineLevel="2">
      <c r="A899" s="779"/>
      <c r="B899" s="1132"/>
      <c r="C899" s="1133"/>
      <c r="D899" s="780"/>
      <c r="E899" s="781"/>
      <c r="F899" s="782"/>
      <c r="G899" s="782"/>
      <c r="H899" s="782"/>
      <c r="I899" s="782"/>
    </row>
    <row r="900" spans="1:9" s="787" customFormat="1" ht="18.75" hidden="1" customHeight="1" outlineLevel="2">
      <c r="A900" s="779"/>
      <c r="B900" s="1132"/>
      <c r="C900" s="1133"/>
      <c r="D900" s="784"/>
      <c r="E900" s="785"/>
      <c r="F900" s="786"/>
      <c r="G900" s="786"/>
      <c r="H900" s="786"/>
      <c r="I900" s="786"/>
    </row>
    <row r="901" spans="1:9" s="787" customFormat="1" ht="48.75" hidden="1" customHeight="1" outlineLevel="2">
      <c r="A901" s="791"/>
      <c r="B901" s="1137"/>
      <c r="C901" s="1138"/>
      <c r="D901" s="799"/>
      <c r="E901" s="800"/>
      <c r="F901" s="793"/>
      <c r="G901" s="793"/>
      <c r="H901" s="793"/>
      <c r="I901" s="793"/>
    </row>
    <row r="902" spans="1:9" s="787" customFormat="1" ht="33" hidden="1" customHeight="1" outlineLevel="2">
      <c r="A902" s="779"/>
      <c r="B902" s="1132"/>
      <c r="C902" s="1133"/>
      <c r="D902" s="784"/>
      <c r="E902" s="785"/>
      <c r="F902" s="786"/>
      <c r="G902" s="786"/>
      <c r="H902" s="786"/>
      <c r="I902" s="786"/>
    </row>
    <row r="903" spans="1:9" s="787" customFormat="1" ht="33" hidden="1" customHeight="1" outlineLevel="2">
      <c r="A903" s="779"/>
      <c r="B903" s="1132"/>
      <c r="C903" s="1133"/>
      <c r="D903" s="784"/>
      <c r="E903" s="785"/>
      <c r="F903" s="786"/>
      <c r="G903" s="786"/>
      <c r="H903" s="786"/>
      <c r="I903" s="786"/>
    </row>
    <row r="904" spans="1:9" s="790" customFormat="1" ht="36" hidden="1" customHeight="1" outlineLevel="2">
      <c r="A904" s="779"/>
      <c r="B904" s="1132"/>
      <c r="C904" s="1133"/>
      <c r="D904" s="788"/>
      <c r="E904" s="789"/>
      <c r="F904" s="786"/>
      <c r="G904" s="786"/>
      <c r="H904" s="786"/>
      <c r="I904" s="786"/>
    </row>
    <row r="905" spans="1:9" s="790" customFormat="1" ht="15" hidden="1" outlineLevel="2">
      <c r="A905" s="779"/>
      <c r="B905" s="1132"/>
      <c r="C905" s="1133"/>
      <c r="D905" s="788"/>
      <c r="E905" s="789"/>
      <c r="F905" s="786"/>
      <c r="G905" s="786"/>
      <c r="H905" s="786"/>
      <c r="I905" s="786"/>
    </row>
    <row r="906" spans="1:9" s="790" customFormat="1" ht="30" hidden="1" customHeight="1" outlineLevel="2">
      <c r="A906" s="779"/>
      <c r="B906" s="1132"/>
      <c r="C906" s="1133"/>
      <c r="D906" s="788"/>
      <c r="E906" s="789">
        <v>0</v>
      </c>
      <c r="F906" s="786"/>
      <c r="G906" s="786"/>
      <c r="H906" s="786"/>
      <c r="I906" s="786"/>
    </row>
    <row r="907" spans="1:9" s="790" customFormat="1" ht="28.5" hidden="1" customHeight="1" outlineLevel="2">
      <c r="A907" s="779"/>
      <c r="B907" s="1132"/>
      <c r="C907" s="1133"/>
      <c r="D907" s="788"/>
      <c r="E907" s="789">
        <v>0</v>
      </c>
      <c r="F907" s="786"/>
      <c r="G907" s="786"/>
      <c r="H907" s="786"/>
      <c r="I907" s="786"/>
    </row>
    <row r="908" spans="1:9" s="790" customFormat="1" ht="28.5" hidden="1" customHeight="1" outlineLevel="2">
      <c r="A908" s="779"/>
      <c r="B908" s="1132"/>
      <c r="C908" s="1133"/>
      <c r="D908" s="788"/>
      <c r="E908" s="789">
        <v>0</v>
      </c>
      <c r="F908" s="786"/>
      <c r="G908" s="786"/>
      <c r="H908" s="786"/>
      <c r="I908" s="786"/>
    </row>
    <row r="909" spans="1:9" s="790" customFormat="1" ht="15" hidden="1" outlineLevel="2">
      <c r="A909" s="791"/>
      <c r="B909" s="1137"/>
      <c r="C909" s="1138"/>
      <c r="D909" s="799"/>
      <c r="E909" s="800"/>
      <c r="F909" s="793"/>
      <c r="G909" s="793"/>
      <c r="H909" s="793"/>
      <c r="I909" s="793"/>
    </row>
    <row r="910" spans="1:9" s="770" customFormat="1" outlineLevel="1" collapsed="1">
      <c r="A910" s="763"/>
      <c r="B910" s="764" t="s">
        <v>828</v>
      </c>
      <c r="C910" s="765"/>
      <c r="D910" s="766"/>
      <c r="E910" s="767">
        <f>+E911+E927+E943+E958+E973</f>
        <v>337440</v>
      </c>
      <c r="F910" s="767">
        <f>+F911+F927+F943+F958+F973</f>
        <v>7800</v>
      </c>
      <c r="G910" s="767">
        <f>+G911+G927+G943+G958+G973</f>
        <v>36243.589999999997</v>
      </c>
      <c r="H910" s="767">
        <f>+H911+H927+H943+H958+H973</f>
        <v>293396.41000000003</v>
      </c>
      <c r="I910" s="768">
        <f>SUM(I911:I973)</f>
        <v>0</v>
      </c>
    </row>
    <row r="911" spans="1:9" s="770" customFormat="1" ht="15" hidden="1" outlineLevel="2">
      <c r="A911" s="771"/>
      <c r="B911" s="772" t="s">
        <v>767</v>
      </c>
      <c r="C911" s="773" t="s">
        <v>595</v>
      </c>
      <c r="D911" s="774">
        <v>2100200121</v>
      </c>
      <c r="E911" s="775">
        <f>SUM(E912:E926)</f>
        <v>0</v>
      </c>
      <c r="F911" s="776">
        <f>+[28]เรียงตามเขต!H75</f>
        <v>0</v>
      </c>
      <c r="G911" s="776">
        <f>+[28]เรียงตามเขต!I75</f>
        <v>0</v>
      </c>
      <c r="H911" s="776">
        <f>E911-F911-G911</f>
        <v>0</v>
      </c>
      <c r="I911" s="776">
        <v>0</v>
      </c>
    </row>
    <row r="912" spans="1:9" s="783" customFormat="1" ht="47.25" hidden="1" customHeight="1" outlineLevel="2">
      <c r="A912" s="779"/>
      <c r="B912" s="1132"/>
      <c r="C912" s="1133"/>
      <c r="D912" s="780"/>
      <c r="E912" s="781"/>
      <c r="F912" s="782"/>
      <c r="G912" s="782"/>
      <c r="H912" s="782"/>
      <c r="I912" s="782"/>
    </row>
    <row r="913" spans="1:9" s="783" customFormat="1" ht="15" hidden="1" outlineLevel="2">
      <c r="A913" s="779"/>
      <c r="B913" s="1132"/>
      <c r="C913" s="1133"/>
      <c r="D913" s="780"/>
      <c r="E913" s="781"/>
      <c r="F913" s="782"/>
      <c r="G913" s="782"/>
      <c r="H913" s="782"/>
      <c r="I913" s="782"/>
    </row>
    <row r="914" spans="1:9" s="783" customFormat="1" ht="18" hidden="1" customHeight="1" outlineLevel="2">
      <c r="A914" s="779"/>
      <c r="B914" s="1132"/>
      <c r="C914" s="1133"/>
      <c r="D914" s="780"/>
      <c r="E914" s="781"/>
      <c r="F914" s="782"/>
      <c r="G914" s="782"/>
      <c r="H914" s="782"/>
      <c r="I914" s="782"/>
    </row>
    <row r="915" spans="1:9" s="783" customFormat="1" ht="18" hidden="1" customHeight="1" outlineLevel="2">
      <c r="A915" s="779"/>
      <c r="B915" s="1132"/>
      <c r="C915" s="1133"/>
      <c r="D915" s="780"/>
      <c r="E915" s="781"/>
      <c r="F915" s="782"/>
      <c r="G915" s="782"/>
      <c r="H915" s="782"/>
      <c r="I915" s="782"/>
    </row>
    <row r="916" spans="1:9" s="787" customFormat="1" ht="18.75" hidden="1" customHeight="1" outlineLevel="2">
      <c r="A916" s="779"/>
      <c r="B916" s="1132"/>
      <c r="C916" s="1133"/>
      <c r="D916" s="784"/>
      <c r="E916" s="785"/>
      <c r="F916" s="786"/>
      <c r="G916" s="786"/>
      <c r="H916" s="786"/>
      <c r="I916" s="786"/>
    </row>
    <row r="917" spans="1:9" s="787" customFormat="1" ht="48.75" hidden="1" customHeight="1" outlineLevel="2">
      <c r="A917" s="779"/>
      <c r="B917" s="1132"/>
      <c r="C917" s="1133"/>
      <c r="D917" s="784"/>
      <c r="E917" s="785"/>
      <c r="F917" s="786"/>
      <c r="G917" s="786"/>
      <c r="H917" s="786"/>
      <c r="I917" s="786"/>
    </row>
    <row r="918" spans="1:9" s="787" customFormat="1" ht="33" hidden="1" customHeight="1" outlineLevel="2">
      <c r="A918" s="779"/>
      <c r="B918" s="1132"/>
      <c r="C918" s="1133"/>
      <c r="D918" s="784"/>
      <c r="E918" s="785"/>
      <c r="F918" s="786"/>
      <c r="G918" s="786"/>
      <c r="H918" s="786"/>
      <c r="I918" s="786"/>
    </row>
    <row r="919" spans="1:9" s="787" customFormat="1" ht="33" hidden="1" customHeight="1" outlineLevel="2">
      <c r="A919" s="779"/>
      <c r="B919" s="1132"/>
      <c r="C919" s="1133"/>
      <c r="D919" s="784"/>
      <c r="E919" s="785"/>
      <c r="F919" s="786"/>
      <c r="G919" s="786"/>
      <c r="H919" s="786"/>
      <c r="I919" s="786"/>
    </row>
    <row r="920" spans="1:9" s="790" customFormat="1" ht="15" hidden="1" outlineLevel="2">
      <c r="A920" s="779"/>
      <c r="B920" s="1132"/>
      <c r="C920" s="1133"/>
      <c r="D920" s="788"/>
      <c r="E920" s="789"/>
      <c r="F920" s="786"/>
      <c r="G920" s="786"/>
      <c r="H920" s="786"/>
      <c r="I920" s="786"/>
    </row>
    <row r="921" spans="1:9" s="790" customFormat="1" ht="36" hidden="1" customHeight="1" outlineLevel="2">
      <c r="A921" s="779"/>
      <c r="B921" s="1132"/>
      <c r="C921" s="1133"/>
      <c r="D921" s="788"/>
      <c r="E921" s="789"/>
      <c r="F921" s="786"/>
      <c r="G921" s="786"/>
      <c r="H921" s="786"/>
      <c r="I921" s="786"/>
    </row>
    <row r="922" spans="1:9" s="790" customFormat="1" ht="15" hidden="1" outlineLevel="2">
      <c r="A922" s="779"/>
      <c r="B922" s="1132"/>
      <c r="C922" s="1133"/>
      <c r="D922" s="788"/>
      <c r="E922" s="789"/>
      <c r="F922" s="786"/>
      <c r="G922" s="786"/>
      <c r="H922" s="786"/>
      <c r="I922" s="786"/>
    </row>
    <row r="923" spans="1:9" s="790" customFormat="1" ht="30" hidden="1" customHeight="1" outlineLevel="2">
      <c r="A923" s="779"/>
      <c r="B923" s="1132"/>
      <c r="C923" s="1133"/>
      <c r="D923" s="788"/>
      <c r="E923" s="789"/>
      <c r="F923" s="786"/>
      <c r="G923" s="786"/>
      <c r="H923" s="786"/>
      <c r="I923" s="786"/>
    </row>
    <row r="924" spans="1:9" s="790" customFormat="1" ht="28.5" hidden="1" customHeight="1" outlineLevel="2">
      <c r="A924" s="779"/>
      <c r="B924" s="1132"/>
      <c r="C924" s="1133"/>
      <c r="D924" s="788"/>
      <c r="E924" s="789"/>
      <c r="F924" s="786"/>
      <c r="G924" s="786"/>
      <c r="H924" s="786"/>
      <c r="I924" s="786"/>
    </row>
    <row r="925" spans="1:9" s="790" customFormat="1" ht="28.5" hidden="1" customHeight="1" outlineLevel="2">
      <c r="A925" s="779"/>
      <c r="B925" s="1132"/>
      <c r="C925" s="1133"/>
      <c r="D925" s="788"/>
      <c r="E925" s="789"/>
      <c r="F925" s="786"/>
      <c r="G925" s="786"/>
      <c r="H925" s="786"/>
      <c r="I925" s="786"/>
    </row>
    <row r="926" spans="1:9" s="790" customFormat="1" ht="15" hidden="1" outlineLevel="2">
      <c r="A926" s="791"/>
      <c r="B926" s="1139"/>
      <c r="C926" s="1140"/>
      <c r="D926" s="799"/>
      <c r="E926" s="792"/>
      <c r="F926" s="793"/>
      <c r="G926" s="793"/>
      <c r="H926" s="793"/>
      <c r="I926" s="793"/>
    </row>
    <row r="927" spans="1:9" s="770" customFormat="1" ht="15" outlineLevel="2">
      <c r="A927" s="771"/>
      <c r="B927" s="772" t="s">
        <v>742</v>
      </c>
      <c r="C927" s="773" t="s">
        <v>597</v>
      </c>
      <c r="D927" s="774">
        <v>2100200123</v>
      </c>
      <c r="E927" s="775">
        <f>SUM(E928:E942)</f>
        <v>230720</v>
      </c>
      <c r="F927" s="776">
        <f>+[28]เรียงตามเขต!H76</f>
        <v>7800</v>
      </c>
      <c r="G927" s="776">
        <f>+[28]เรียงตามเขต!I76</f>
        <v>4243.59</v>
      </c>
      <c r="H927" s="776">
        <f>E927-F927-G927</f>
        <v>218676.41</v>
      </c>
      <c r="I927" s="776">
        <v>0</v>
      </c>
    </row>
    <row r="928" spans="1:9" s="783" customFormat="1" ht="47.25" customHeight="1" outlineLevel="2">
      <c r="A928" s="779"/>
      <c r="B928" s="1132" t="s">
        <v>819</v>
      </c>
      <c r="C928" s="1133"/>
      <c r="D928" s="780"/>
      <c r="E928" s="781">
        <f>+[28]เรียงตามเขต!G76</f>
        <v>230720</v>
      </c>
      <c r="F928" s="782">
        <f>+[28]เรียงตามเขต!H76</f>
        <v>7800</v>
      </c>
      <c r="G928" s="782">
        <f>+[28]เรียงตามเขต!I76</f>
        <v>4243.59</v>
      </c>
      <c r="H928" s="782"/>
      <c r="I928" s="782"/>
    </row>
    <row r="929" spans="1:9" s="783" customFormat="1" ht="15" hidden="1" outlineLevel="2">
      <c r="A929" s="779"/>
      <c r="B929" s="1132"/>
      <c r="C929" s="1133"/>
      <c r="D929" s="780"/>
      <c r="E929" s="781"/>
      <c r="F929" s="782"/>
      <c r="G929" s="782"/>
      <c r="H929" s="782"/>
      <c r="I929" s="782"/>
    </row>
    <row r="930" spans="1:9" s="783" customFormat="1" ht="18" hidden="1" customHeight="1" outlineLevel="2">
      <c r="A930" s="779"/>
      <c r="B930" s="1132"/>
      <c r="C930" s="1133"/>
      <c r="D930" s="780"/>
      <c r="E930" s="781"/>
      <c r="F930" s="782"/>
      <c r="G930" s="782"/>
      <c r="H930" s="782"/>
      <c r="I930" s="782"/>
    </row>
    <row r="931" spans="1:9" s="783" customFormat="1" ht="18" hidden="1" customHeight="1" outlineLevel="2">
      <c r="A931" s="779"/>
      <c r="B931" s="1132"/>
      <c r="C931" s="1133"/>
      <c r="D931" s="780"/>
      <c r="E931" s="781"/>
      <c r="F931" s="782"/>
      <c r="G931" s="782"/>
      <c r="H931" s="782"/>
      <c r="I931" s="782"/>
    </row>
    <row r="932" spans="1:9" s="787" customFormat="1" ht="18.75" hidden="1" customHeight="1" outlineLevel="2">
      <c r="A932" s="779"/>
      <c r="B932" s="1132"/>
      <c r="C932" s="1133"/>
      <c r="D932" s="784"/>
      <c r="E932" s="785"/>
      <c r="F932" s="786"/>
      <c r="G932" s="786"/>
      <c r="H932" s="786"/>
      <c r="I932" s="786"/>
    </row>
    <row r="933" spans="1:9" s="787" customFormat="1" ht="48.75" hidden="1" customHeight="1" outlineLevel="2">
      <c r="A933" s="779"/>
      <c r="B933" s="1132"/>
      <c r="C933" s="1133"/>
      <c r="D933" s="784"/>
      <c r="E933" s="785"/>
      <c r="F933" s="786"/>
      <c r="G933" s="786"/>
      <c r="H933" s="786"/>
      <c r="I933" s="786"/>
    </row>
    <row r="934" spans="1:9" s="787" customFormat="1" ht="33" hidden="1" customHeight="1" outlineLevel="2">
      <c r="A934" s="779"/>
      <c r="B934" s="1132"/>
      <c r="C934" s="1133"/>
      <c r="D934" s="784"/>
      <c r="E934" s="785"/>
      <c r="F934" s="786"/>
      <c r="G934" s="786"/>
      <c r="H934" s="786"/>
      <c r="I934" s="786"/>
    </row>
    <row r="935" spans="1:9" s="787" customFormat="1" ht="33" hidden="1" customHeight="1" outlineLevel="2">
      <c r="A935" s="779"/>
      <c r="B935" s="1132"/>
      <c r="C935" s="1133"/>
      <c r="D935" s="784"/>
      <c r="E935" s="785"/>
      <c r="F935" s="786"/>
      <c r="G935" s="786"/>
      <c r="H935" s="786"/>
      <c r="I935" s="786"/>
    </row>
    <row r="936" spans="1:9" s="787" customFormat="1" ht="30.75" hidden="1" customHeight="1" outlineLevel="2">
      <c r="A936" s="779"/>
      <c r="B936" s="1132"/>
      <c r="C936" s="1133"/>
      <c r="D936" s="784"/>
      <c r="E936" s="785"/>
      <c r="F936" s="786"/>
      <c r="G936" s="786"/>
      <c r="H936" s="786"/>
      <c r="I936" s="786"/>
    </row>
    <row r="937" spans="1:9" s="790" customFormat="1" ht="36" hidden="1" customHeight="1" outlineLevel="2">
      <c r="A937" s="779"/>
      <c r="B937" s="1132"/>
      <c r="C937" s="1133"/>
      <c r="D937" s="788"/>
      <c r="E937" s="789"/>
      <c r="F937" s="786"/>
      <c r="G937" s="786"/>
      <c r="H937" s="786"/>
      <c r="I937" s="786"/>
    </row>
    <row r="938" spans="1:9" s="790" customFormat="1" ht="15" hidden="1" outlineLevel="2">
      <c r="A938" s="779"/>
      <c r="B938" s="1132"/>
      <c r="C938" s="1133"/>
      <c r="D938" s="788"/>
      <c r="E938" s="789"/>
      <c r="F938" s="786"/>
      <c r="G938" s="786"/>
      <c r="H938" s="786"/>
      <c r="I938" s="786"/>
    </row>
    <row r="939" spans="1:9" s="790" customFormat="1" ht="30" hidden="1" customHeight="1" outlineLevel="2">
      <c r="A939" s="779"/>
      <c r="B939" s="1132"/>
      <c r="C939" s="1133"/>
      <c r="D939" s="788"/>
      <c r="E939" s="789"/>
      <c r="F939" s="786"/>
      <c r="G939" s="786"/>
      <c r="H939" s="786"/>
      <c r="I939" s="786"/>
    </row>
    <row r="940" spans="1:9" s="790" customFormat="1" ht="28.5" hidden="1" customHeight="1" outlineLevel="2">
      <c r="A940" s="779"/>
      <c r="B940" s="1132"/>
      <c r="C940" s="1133"/>
      <c r="D940" s="788"/>
      <c r="E940" s="789"/>
      <c r="F940" s="786"/>
      <c r="G940" s="786"/>
      <c r="H940" s="786"/>
      <c r="I940" s="786"/>
    </row>
    <row r="941" spans="1:9" s="790" customFormat="1" ht="28.5" hidden="1" customHeight="1" outlineLevel="2">
      <c r="A941" s="779"/>
      <c r="B941" s="1132"/>
      <c r="C941" s="1133"/>
      <c r="D941" s="788"/>
      <c r="E941" s="789"/>
      <c r="F941" s="786"/>
      <c r="G941" s="786"/>
      <c r="H941" s="786"/>
      <c r="I941" s="786"/>
    </row>
    <row r="942" spans="1:9" s="790" customFormat="1" ht="15" hidden="1" outlineLevel="2">
      <c r="A942" s="779"/>
      <c r="B942" s="1132"/>
      <c r="C942" s="1133"/>
      <c r="D942" s="784"/>
      <c r="E942" s="785"/>
      <c r="F942" s="786"/>
      <c r="G942" s="786"/>
      <c r="H942" s="786"/>
      <c r="I942" s="786"/>
    </row>
    <row r="943" spans="1:9" s="770" customFormat="1" ht="15" hidden="1" outlineLevel="2">
      <c r="A943" s="771"/>
      <c r="B943" s="772" t="s">
        <v>769</v>
      </c>
      <c r="C943" s="773" t="s">
        <v>599</v>
      </c>
      <c r="D943" s="774">
        <v>2100200125</v>
      </c>
      <c r="E943" s="775">
        <f>SUM(E944:E957)</f>
        <v>0</v>
      </c>
      <c r="F943" s="776">
        <f>+[28]เรียงตามเขต!H77</f>
        <v>0</v>
      </c>
      <c r="G943" s="776">
        <f>+[28]เรียงตามเขต!I77</f>
        <v>0</v>
      </c>
      <c r="H943" s="776">
        <f>E943-F943-G943</f>
        <v>0</v>
      </c>
      <c r="I943" s="776">
        <v>0</v>
      </c>
    </row>
    <row r="944" spans="1:9" s="783" customFormat="1" ht="47.25" hidden="1" customHeight="1" outlineLevel="2">
      <c r="A944" s="779"/>
      <c r="B944" s="1132"/>
      <c r="C944" s="1133"/>
      <c r="D944" s="780"/>
      <c r="E944" s="781"/>
      <c r="F944" s="782"/>
      <c r="G944" s="782"/>
      <c r="H944" s="782"/>
      <c r="I944" s="782"/>
    </row>
    <row r="945" spans="1:9" s="783" customFormat="1" ht="15" hidden="1" outlineLevel="2">
      <c r="A945" s="779"/>
      <c r="B945" s="1132"/>
      <c r="C945" s="1133"/>
      <c r="D945" s="780"/>
      <c r="E945" s="781"/>
      <c r="F945" s="782"/>
      <c r="G945" s="782"/>
      <c r="H945" s="782"/>
      <c r="I945" s="782"/>
    </row>
    <row r="946" spans="1:9" s="783" customFormat="1" ht="18" hidden="1" customHeight="1" outlineLevel="2">
      <c r="A946" s="779"/>
      <c r="B946" s="1132"/>
      <c r="C946" s="1133"/>
      <c r="D946" s="780"/>
      <c r="E946" s="781"/>
      <c r="F946" s="782"/>
      <c r="G946" s="782"/>
      <c r="H946" s="782"/>
      <c r="I946" s="782"/>
    </row>
    <row r="947" spans="1:9" s="783" customFormat="1" ht="18" hidden="1" customHeight="1" outlineLevel="2">
      <c r="A947" s="779"/>
      <c r="B947" s="1132"/>
      <c r="C947" s="1133"/>
      <c r="D947" s="780"/>
      <c r="E947" s="781"/>
      <c r="F947" s="782"/>
      <c r="G947" s="782"/>
      <c r="H947" s="782"/>
      <c r="I947" s="782"/>
    </row>
    <row r="948" spans="1:9" s="787" customFormat="1" ht="18.75" hidden="1" customHeight="1" outlineLevel="2">
      <c r="A948" s="779"/>
      <c r="B948" s="1132"/>
      <c r="C948" s="1133"/>
      <c r="D948" s="784"/>
      <c r="E948" s="785"/>
      <c r="F948" s="786"/>
      <c r="G948" s="786"/>
      <c r="H948" s="786"/>
      <c r="I948" s="786"/>
    </row>
    <row r="949" spans="1:9" s="787" customFormat="1" ht="48.75" hidden="1" customHeight="1" outlineLevel="2">
      <c r="A949" s="779"/>
      <c r="B949" s="1132"/>
      <c r="C949" s="1133"/>
      <c r="D949" s="784"/>
      <c r="E949" s="785"/>
      <c r="F949" s="786"/>
      <c r="G949" s="786"/>
      <c r="H949" s="786"/>
      <c r="I949" s="786"/>
    </row>
    <row r="950" spans="1:9" s="787" customFormat="1" ht="33" hidden="1" customHeight="1" outlineLevel="2">
      <c r="A950" s="779"/>
      <c r="B950" s="1132"/>
      <c r="C950" s="1133"/>
      <c r="D950" s="784"/>
      <c r="E950" s="785"/>
      <c r="F950" s="786"/>
      <c r="G950" s="786"/>
      <c r="H950" s="786"/>
      <c r="I950" s="786"/>
    </row>
    <row r="951" spans="1:9" s="787" customFormat="1" ht="33" hidden="1" customHeight="1" outlineLevel="2">
      <c r="A951" s="779"/>
      <c r="B951" s="1132"/>
      <c r="C951" s="1133"/>
      <c r="D951" s="784"/>
      <c r="E951" s="785"/>
      <c r="F951" s="786"/>
      <c r="G951" s="786"/>
      <c r="H951" s="786"/>
      <c r="I951" s="786"/>
    </row>
    <row r="952" spans="1:9" s="790" customFormat="1" ht="36" hidden="1" customHeight="1" outlineLevel="2">
      <c r="A952" s="779"/>
      <c r="B952" s="1132"/>
      <c r="C952" s="1133"/>
      <c r="D952" s="788"/>
      <c r="E952" s="789"/>
      <c r="F952" s="786"/>
      <c r="G952" s="786"/>
      <c r="H952" s="786"/>
      <c r="I952" s="786"/>
    </row>
    <row r="953" spans="1:9" s="790" customFormat="1" ht="15" hidden="1" outlineLevel="2">
      <c r="A953" s="779"/>
      <c r="B953" s="1132"/>
      <c r="C953" s="1133"/>
      <c r="D953" s="788"/>
      <c r="E953" s="789"/>
      <c r="F953" s="786"/>
      <c r="G953" s="786"/>
      <c r="H953" s="786"/>
      <c r="I953" s="786"/>
    </row>
    <row r="954" spans="1:9" s="790" customFormat="1" ht="30" hidden="1" customHeight="1" outlineLevel="2">
      <c r="A954" s="779"/>
      <c r="B954" s="1132"/>
      <c r="C954" s="1133"/>
      <c r="D954" s="788"/>
      <c r="E954" s="789"/>
      <c r="F954" s="786"/>
      <c r="G954" s="786"/>
      <c r="H954" s="786"/>
      <c r="I954" s="786"/>
    </row>
    <row r="955" spans="1:9" s="790" customFormat="1" ht="28.5" hidden="1" customHeight="1" outlineLevel="2">
      <c r="A955" s="779"/>
      <c r="B955" s="1132"/>
      <c r="C955" s="1133"/>
      <c r="D955" s="788"/>
      <c r="E955" s="789"/>
      <c r="F955" s="786"/>
      <c r="G955" s="786"/>
      <c r="H955" s="786"/>
      <c r="I955" s="786"/>
    </row>
    <row r="956" spans="1:9" s="790" customFormat="1" ht="28.5" hidden="1" customHeight="1" outlineLevel="2">
      <c r="A956" s="779"/>
      <c r="B956" s="1132"/>
      <c r="C956" s="1133"/>
      <c r="D956" s="788"/>
      <c r="E956" s="789"/>
      <c r="F956" s="786"/>
      <c r="G956" s="786"/>
      <c r="H956" s="786"/>
      <c r="I956" s="786"/>
    </row>
    <row r="957" spans="1:9" s="790" customFormat="1" ht="15" hidden="1" outlineLevel="2">
      <c r="A957" s="779"/>
      <c r="B957" s="1141"/>
      <c r="C957" s="1142"/>
      <c r="D957" s="784"/>
      <c r="E957" s="788"/>
      <c r="F957" s="786"/>
      <c r="G957" s="786"/>
      <c r="H957" s="786"/>
      <c r="I957" s="786"/>
    </row>
    <row r="958" spans="1:9" s="770" customFormat="1" ht="15" hidden="1" outlineLevel="2">
      <c r="A958" s="771"/>
      <c r="B958" s="772" t="s">
        <v>770</v>
      </c>
      <c r="C958" s="773" t="s">
        <v>601</v>
      </c>
      <c r="D958" s="774">
        <v>2100200129</v>
      </c>
      <c r="E958" s="775">
        <f>SUM(E959:E972)</f>
        <v>0</v>
      </c>
      <c r="F958" s="776">
        <f>+[28]เรียงตามเขต!H78</f>
        <v>0</v>
      </c>
      <c r="G958" s="776">
        <f>+[28]เรียงตามเขต!I78</f>
        <v>0</v>
      </c>
      <c r="H958" s="776">
        <f>E958-F958-G958</f>
        <v>0</v>
      </c>
      <c r="I958" s="776">
        <v>0</v>
      </c>
    </row>
    <row r="959" spans="1:9" s="783" customFormat="1" ht="47.25" hidden="1" customHeight="1" outlineLevel="2">
      <c r="A959" s="779"/>
      <c r="B959" s="1132"/>
      <c r="C959" s="1133"/>
      <c r="D959" s="780"/>
      <c r="E959" s="781"/>
      <c r="F959" s="782"/>
      <c r="G959" s="782"/>
      <c r="H959" s="782"/>
      <c r="I959" s="782"/>
    </row>
    <row r="960" spans="1:9" s="783" customFormat="1" ht="15" hidden="1" outlineLevel="2">
      <c r="A960" s="779"/>
      <c r="B960" s="1132"/>
      <c r="C960" s="1133"/>
      <c r="D960" s="780"/>
      <c r="E960" s="781"/>
      <c r="F960" s="782"/>
      <c r="G960" s="782"/>
      <c r="H960" s="782"/>
      <c r="I960" s="782"/>
    </row>
    <row r="961" spans="1:9" s="783" customFormat="1" ht="18" hidden="1" customHeight="1" outlineLevel="2">
      <c r="A961" s="779"/>
      <c r="B961" s="1132"/>
      <c r="C961" s="1133"/>
      <c r="D961" s="780"/>
      <c r="E961" s="781"/>
      <c r="F961" s="782"/>
      <c r="G961" s="782"/>
      <c r="H961" s="782"/>
      <c r="I961" s="782"/>
    </row>
    <row r="962" spans="1:9" s="783" customFormat="1" ht="18" hidden="1" customHeight="1" outlineLevel="2">
      <c r="A962" s="779"/>
      <c r="B962" s="1132"/>
      <c r="C962" s="1133"/>
      <c r="D962" s="780"/>
      <c r="E962" s="781"/>
      <c r="F962" s="782"/>
      <c r="G962" s="782"/>
      <c r="H962" s="782"/>
      <c r="I962" s="782"/>
    </row>
    <row r="963" spans="1:9" s="787" customFormat="1" ht="18.75" hidden="1" customHeight="1" outlineLevel="2">
      <c r="A963" s="779"/>
      <c r="B963" s="1132"/>
      <c r="C963" s="1133"/>
      <c r="D963" s="784"/>
      <c r="E963" s="785"/>
      <c r="F963" s="786"/>
      <c r="G963" s="786"/>
      <c r="H963" s="786"/>
      <c r="I963" s="786"/>
    </row>
    <row r="964" spans="1:9" s="787" customFormat="1" ht="48.75" hidden="1" customHeight="1" outlineLevel="2">
      <c r="A964" s="779"/>
      <c r="B964" s="1132"/>
      <c r="C964" s="1133"/>
      <c r="D964" s="784"/>
      <c r="E964" s="785"/>
      <c r="F964" s="786"/>
      <c r="G964" s="786"/>
      <c r="H964" s="786"/>
      <c r="I964" s="786"/>
    </row>
    <row r="965" spans="1:9" s="787" customFormat="1" ht="33" hidden="1" customHeight="1" outlineLevel="2">
      <c r="A965" s="779"/>
      <c r="B965" s="1132"/>
      <c r="C965" s="1133"/>
      <c r="D965" s="784"/>
      <c r="E965" s="785"/>
      <c r="F965" s="786"/>
      <c r="G965" s="786"/>
      <c r="H965" s="786"/>
      <c r="I965" s="786"/>
    </row>
    <row r="966" spans="1:9" s="787" customFormat="1" ht="33" hidden="1" customHeight="1" outlineLevel="2">
      <c r="A966" s="791"/>
      <c r="B966" s="1137"/>
      <c r="C966" s="1138"/>
      <c r="D966" s="799"/>
      <c r="E966" s="800"/>
      <c r="F966" s="793"/>
      <c r="G966" s="793"/>
      <c r="H966" s="793"/>
      <c r="I966" s="793"/>
    </row>
    <row r="967" spans="1:9" s="790" customFormat="1" ht="36" hidden="1" customHeight="1" outlineLevel="2">
      <c r="A967" s="779"/>
      <c r="B967" s="1132"/>
      <c r="C967" s="1133"/>
      <c r="D967" s="788"/>
      <c r="E967" s="789"/>
      <c r="F967" s="786"/>
      <c r="G967" s="786"/>
      <c r="H967" s="786"/>
      <c r="I967" s="786"/>
    </row>
    <row r="968" spans="1:9" s="790" customFormat="1" ht="15" hidden="1" outlineLevel="2">
      <c r="A968" s="779"/>
      <c r="B968" s="1132"/>
      <c r="C968" s="1133"/>
      <c r="D968" s="788"/>
      <c r="E968" s="789"/>
      <c r="F968" s="786"/>
      <c r="G968" s="786"/>
      <c r="H968" s="786"/>
      <c r="I968" s="786"/>
    </row>
    <row r="969" spans="1:9" s="790" customFormat="1" ht="30" hidden="1" customHeight="1" outlineLevel="2">
      <c r="A969" s="779"/>
      <c r="B969" s="1132"/>
      <c r="C969" s="1133"/>
      <c r="D969" s="788"/>
      <c r="E969" s="789"/>
      <c r="F969" s="786"/>
      <c r="G969" s="786"/>
      <c r="H969" s="786"/>
      <c r="I969" s="786"/>
    </row>
    <row r="970" spans="1:9" s="790" customFormat="1" ht="28.5" hidden="1" customHeight="1" outlineLevel="2">
      <c r="A970" s="779"/>
      <c r="B970" s="1132"/>
      <c r="C970" s="1133"/>
      <c r="D970" s="788"/>
      <c r="E970" s="789"/>
      <c r="F970" s="786"/>
      <c r="G970" s="786"/>
      <c r="H970" s="786"/>
      <c r="I970" s="786"/>
    </row>
    <row r="971" spans="1:9" s="790" customFormat="1" ht="28.5" hidden="1" customHeight="1" outlineLevel="2">
      <c r="A971" s="779"/>
      <c r="B971" s="1132"/>
      <c r="C971" s="1133"/>
      <c r="D971" s="788"/>
      <c r="E971" s="789"/>
      <c r="F971" s="786"/>
      <c r="G971" s="786"/>
      <c r="H971" s="786"/>
      <c r="I971" s="786"/>
    </row>
    <row r="972" spans="1:9" s="790" customFormat="1" ht="15" hidden="1" outlineLevel="2">
      <c r="A972" s="791"/>
      <c r="B972" s="1137"/>
      <c r="C972" s="1138"/>
      <c r="D972" s="799"/>
      <c r="E972" s="800"/>
      <c r="F972" s="793"/>
      <c r="G972" s="793"/>
      <c r="H972" s="793"/>
      <c r="I972" s="793"/>
    </row>
    <row r="973" spans="1:9" s="770" customFormat="1" ht="15" outlineLevel="2">
      <c r="A973" s="771"/>
      <c r="B973" s="772" t="s">
        <v>743</v>
      </c>
      <c r="C973" s="773" t="s">
        <v>603</v>
      </c>
      <c r="D973" s="774">
        <v>2100200152</v>
      </c>
      <c r="E973" s="775">
        <f>SUM(E974:E987)</f>
        <v>106720</v>
      </c>
      <c r="F973" s="776">
        <f>+[28]เรียงตามเขต!H79</f>
        <v>0</v>
      </c>
      <c r="G973" s="776">
        <f>+[28]เรียงตามเขต!I79</f>
        <v>32000</v>
      </c>
      <c r="H973" s="776">
        <f>E973-F973-G973</f>
        <v>74720</v>
      </c>
      <c r="I973" s="776">
        <v>0</v>
      </c>
    </row>
    <row r="974" spans="1:9" s="783" customFormat="1" ht="47.25" customHeight="1" outlineLevel="2">
      <c r="A974" s="779"/>
      <c r="B974" s="1132" t="s">
        <v>819</v>
      </c>
      <c r="C974" s="1133"/>
      <c r="D974" s="780"/>
      <c r="E974" s="781">
        <f>+[28]เรียงตามเขต!G79</f>
        <v>106720</v>
      </c>
      <c r="F974" s="782">
        <f>+[28]เรียงตามเขต!H79</f>
        <v>0</v>
      </c>
      <c r="G974" s="782">
        <f>+[28]เรียงตามเขต!I79</f>
        <v>32000</v>
      </c>
      <c r="H974" s="782"/>
      <c r="I974" s="782"/>
    </row>
    <row r="975" spans="1:9" s="783" customFormat="1" ht="15" hidden="1" outlineLevel="2">
      <c r="A975" s="779"/>
      <c r="B975" s="1132"/>
      <c r="C975" s="1133"/>
      <c r="D975" s="780"/>
      <c r="E975" s="781"/>
      <c r="F975" s="782"/>
      <c r="G975" s="782"/>
      <c r="H975" s="782"/>
      <c r="I975" s="782"/>
    </row>
    <row r="976" spans="1:9" s="783" customFormat="1" ht="15" hidden="1" customHeight="1" outlineLevel="2">
      <c r="A976" s="779"/>
      <c r="B976" s="1132"/>
      <c r="C976" s="1133"/>
      <c r="D976" s="780"/>
      <c r="E976" s="781"/>
      <c r="F976" s="782"/>
      <c r="G976" s="782"/>
      <c r="H976" s="782"/>
      <c r="I976" s="782"/>
    </row>
    <row r="977" spans="1:9" s="783" customFormat="1" ht="15.75" hidden="1" customHeight="1" outlineLevel="2">
      <c r="A977" s="779"/>
      <c r="B977" s="1132"/>
      <c r="C977" s="1133"/>
      <c r="D977" s="780"/>
      <c r="E977" s="781"/>
      <c r="F977" s="782"/>
      <c r="G977" s="782"/>
      <c r="H977" s="782"/>
      <c r="I977" s="782"/>
    </row>
    <row r="978" spans="1:9" s="787" customFormat="1" ht="15" hidden="1" customHeight="1" outlineLevel="2">
      <c r="A978" s="779"/>
      <c r="B978" s="1132"/>
      <c r="C978" s="1133"/>
      <c r="D978" s="784"/>
      <c r="E978" s="785"/>
      <c r="F978" s="786"/>
      <c r="G978" s="786"/>
      <c r="H978" s="786"/>
      <c r="I978" s="786"/>
    </row>
    <row r="979" spans="1:9" s="787" customFormat="1" ht="48.75" hidden="1" customHeight="1" outlineLevel="2">
      <c r="A979" s="779"/>
      <c r="B979" s="1132"/>
      <c r="C979" s="1133"/>
      <c r="D979" s="784"/>
      <c r="E979" s="785"/>
      <c r="F979" s="786"/>
      <c r="G979" s="786"/>
      <c r="H979" s="786"/>
      <c r="I979" s="786"/>
    </row>
    <row r="980" spans="1:9" s="787" customFormat="1" ht="33" hidden="1" customHeight="1" outlineLevel="2">
      <c r="A980" s="779"/>
      <c r="B980" s="1132"/>
      <c r="C980" s="1133"/>
      <c r="D980" s="784"/>
      <c r="E980" s="785"/>
      <c r="F980" s="786"/>
      <c r="G980" s="786"/>
      <c r="H980" s="786"/>
      <c r="I980" s="786"/>
    </row>
    <row r="981" spans="1:9" s="787" customFormat="1" ht="33" hidden="1" customHeight="1" outlineLevel="2">
      <c r="A981" s="779"/>
      <c r="B981" s="1132"/>
      <c r="C981" s="1133"/>
      <c r="D981" s="784"/>
      <c r="E981" s="785"/>
      <c r="F981" s="786"/>
      <c r="G981" s="786"/>
      <c r="H981" s="786"/>
      <c r="I981" s="786"/>
    </row>
    <row r="982" spans="1:9" s="790" customFormat="1" ht="27.75" hidden="1" customHeight="1" outlineLevel="2">
      <c r="A982" s="779"/>
      <c r="B982" s="1132"/>
      <c r="C982" s="1133"/>
      <c r="D982" s="788"/>
      <c r="E982" s="789"/>
      <c r="F982" s="786"/>
      <c r="G982" s="786"/>
      <c r="H982" s="786"/>
      <c r="I982" s="786"/>
    </row>
    <row r="983" spans="1:9" s="790" customFormat="1" ht="15" hidden="1" outlineLevel="2">
      <c r="A983" s="779"/>
      <c r="B983" s="1132"/>
      <c r="C983" s="1133"/>
      <c r="D983" s="788"/>
      <c r="E983" s="789"/>
      <c r="F983" s="786"/>
      <c r="G983" s="786"/>
      <c r="H983" s="786"/>
      <c r="I983" s="786"/>
    </row>
    <row r="984" spans="1:9" s="790" customFormat="1" ht="30" hidden="1" customHeight="1" outlineLevel="2">
      <c r="A984" s="779"/>
      <c r="B984" s="1132"/>
      <c r="C984" s="1133"/>
      <c r="D984" s="788"/>
      <c r="E984" s="789"/>
      <c r="F984" s="786"/>
      <c r="G984" s="786"/>
      <c r="H984" s="786"/>
      <c r="I984" s="786"/>
    </row>
    <row r="985" spans="1:9" s="790" customFormat="1" ht="28.5" hidden="1" customHeight="1" outlineLevel="2">
      <c r="A985" s="779"/>
      <c r="B985" s="1132"/>
      <c r="C985" s="1133"/>
      <c r="D985" s="788"/>
      <c r="E985" s="789"/>
      <c r="F985" s="786"/>
      <c r="G985" s="786"/>
      <c r="H985" s="786"/>
      <c r="I985" s="786"/>
    </row>
    <row r="986" spans="1:9" s="790" customFormat="1" ht="28.5" hidden="1" customHeight="1" outlineLevel="2">
      <c r="A986" s="779"/>
      <c r="B986" s="1132"/>
      <c r="C986" s="1133"/>
      <c r="D986" s="788"/>
      <c r="E986" s="789"/>
      <c r="F986" s="786"/>
      <c r="G986" s="786"/>
      <c r="H986" s="786"/>
      <c r="I986" s="786"/>
    </row>
    <row r="987" spans="1:9" s="790" customFormat="1" ht="15" hidden="1" outlineLevel="2">
      <c r="A987" s="791"/>
      <c r="B987" s="1137"/>
      <c r="C987" s="1138"/>
      <c r="D987" s="799"/>
      <c r="E987" s="800"/>
      <c r="F987" s="793"/>
      <c r="G987" s="793"/>
      <c r="H987" s="793"/>
      <c r="I987" s="793"/>
    </row>
    <row r="988" spans="1:9" s="770" customFormat="1" outlineLevel="1" collapsed="1">
      <c r="A988" s="763"/>
      <c r="B988" s="764" t="s">
        <v>829</v>
      </c>
      <c r="C988" s="765"/>
      <c r="D988" s="766"/>
      <c r="E988" s="767">
        <f>+E989+E1005+E1021+E1037+E1053+E1070+E1086</f>
        <v>383960</v>
      </c>
      <c r="F988" s="767">
        <f>+F989+F1005+F1021+F1037+F1053+F1070+F1086</f>
        <v>0</v>
      </c>
      <c r="G988" s="767">
        <f>+G989+G1005+G1021+G1037+G1053+G1070+G1086</f>
        <v>0</v>
      </c>
      <c r="H988" s="767">
        <f>+H989+H1005+H1021+H1037+H1053+H1070+H1086</f>
        <v>383960</v>
      </c>
      <c r="I988" s="768">
        <f>SUM(I989:I1086)</f>
        <v>0</v>
      </c>
    </row>
    <row r="989" spans="1:9" s="770" customFormat="1" ht="15" hidden="1" outlineLevel="2">
      <c r="A989" s="810"/>
      <c r="B989" s="833" t="s">
        <v>772</v>
      </c>
      <c r="C989" s="812" t="s">
        <v>606</v>
      </c>
      <c r="D989" s="813">
        <v>2100200223</v>
      </c>
      <c r="E989" s="814">
        <f>SUM(E990:E1004)</f>
        <v>0</v>
      </c>
      <c r="F989" s="815">
        <f>+[28]เรียงตามเขต!H81</f>
        <v>0</v>
      </c>
      <c r="G989" s="815">
        <f>+[28]เรียงตามเขต!I81</f>
        <v>0</v>
      </c>
      <c r="H989" s="815">
        <f>E989-F989-G989</f>
        <v>0</v>
      </c>
      <c r="I989" s="815">
        <v>0</v>
      </c>
    </row>
    <row r="990" spans="1:9" s="783" customFormat="1" ht="47.25" hidden="1" customHeight="1" outlineLevel="2">
      <c r="A990" s="779"/>
      <c r="B990" s="1132"/>
      <c r="C990" s="1133"/>
      <c r="D990" s="780"/>
      <c r="E990" s="781"/>
      <c r="F990" s="782"/>
      <c r="G990" s="782"/>
      <c r="H990" s="782"/>
      <c r="I990" s="782"/>
    </row>
    <row r="991" spans="1:9" s="783" customFormat="1" ht="15" hidden="1" outlineLevel="2">
      <c r="A991" s="779"/>
      <c r="B991" s="1132"/>
      <c r="C991" s="1133"/>
      <c r="D991" s="780"/>
      <c r="E991" s="781"/>
      <c r="F991" s="782"/>
      <c r="G991" s="782"/>
      <c r="H991" s="782"/>
      <c r="I991" s="782"/>
    </row>
    <row r="992" spans="1:9" s="783" customFormat="1" ht="18" hidden="1" customHeight="1" outlineLevel="2">
      <c r="A992" s="779"/>
      <c r="B992" s="1132"/>
      <c r="C992" s="1133"/>
      <c r="D992" s="780"/>
      <c r="E992" s="781"/>
      <c r="F992" s="782"/>
      <c r="G992" s="782"/>
      <c r="H992" s="782"/>
      <c r="I992" s="782"/>
    </row>
    <row r="993" spans="1:9" s="783" customFormat="1" ht="18" hidden="1" customHeight="1" outlineLevel="2">
      <c r="A993" s="779"/>
      <c r="B993" s="1132"/>
      <c r="C993" s="1133"/>
      <c r="D993" s="780"/>
      <c r="E993" s="781"/>
      <c r="F993" s="782"/>
      <c r="G993" s="782"/>
      <c r="H993" s="782"/>
      <c r="I993" s="782"/>
    </row>
    <row r="994" spans="1:9" s="787" customFormat="1" ht="18.75" hidden="1" customHeight="1" outlineLevel="2">
      <c r="A994" s="779"/>
      <c r="B994" s="1132"/>
      <c r="C994" s="1133"/>
      <c r="D994" s="784"/>
      <c r="E994" s="785"/>
      <c r="F994" s="786"/>
      <c r="G994" s="786"/>
      <c r="H994" s="786"/>
      <c r="I994" s="786"/>
    </row>
    <row r="995" spans="1:9" s="787" customFormat="1" ht="48.75" hidden="1" customHeight="1" outlineLevel="2">
      <c r="A995" s="779"/>
      <c r="B995" s="1132"/>
      <c r="C995" s="1133"/>
      <c r="D995" s="784"/>
      <c r="E995" s="785"/>
      <c r="F995" s="786"/>
      <c r="G995" s="786"/>
      <c r="H995" s="786"/>
      <c r="I995" s="786"/>
    </row>
    <row r="996" spans="1:9" s="787" customFormat="1" ht="33" hidden="1" customHeight="1" outlineLevel="2">
      <c r="A996" s="779"/>
      <c r="B996" s="1132"/>
      <c r="C996" s="1133"/>
      <c r="D996" s="784"/>
      <c r="E996" s="785"/>
      <c r="F996" s="786"/>
      <c r="G996" s="786"/>
      <c r="H996" s="786"/>
      <c r="I996" s="786"/>
    </row>
    <row r="997" spans="1:9" s="787" customFormat="1" ht="33" hidden="1" customHeight="1" outlineLevel="2">
      <c r="A997" s="779"/>
      <c r="B997" s="1132"/>
      <c r="C997" s="1133"/>
      <c r="D997" s="784"/>
      <c r="E997" s="785"/>
      <c r="F997" s="786"/>
      <c r="G997" s="786"/>
      <c r="H997" s="786"/>
      <c r="I997" s="786"/>
    </row>
    <row r="998" spans="1:9" s="787" customFormat="1" ht="16.5" hidden="1" customHeight="1" outlineLevel="2">
      <c r="A998" s="779"/>
      <c r="B998" s="1132"/>
      <c r="C998" s="1133"/>
      <c r="D998" s="784"/>
      <c r="E998" s="785"/>
      <c r="F998" s="786"/>
      <c r="G998" s="786"/>
      <c r="H998" s="786"/>
      <c r="I998" s="786"/>
    </row>
    <row r="999" spans="1:9" s="790" customFormat="1" ht="36" hidden="1" customHeight="1" outlineLevel="2">
      <c r="A999" s="779"/>
      <c r="B999" s="1132"/>
      <c r="C999" s="1133"/>
      <c r="D999" s="788"/>
      <c r="E999" s="789"/>
      <c r="F999" s="786"/>
      <c r="G999" s="786"/>
      <c r="H999" s="786"/>
      <c r="I999" s="786"/>
    </row>
    <row r="1000" spans="1:9" s="790" customFormat="1" ht="15" hidden="1" outlineLevel="2">
      <c r="A1000" s="779"/>
      <c r="B1000" s="1132" t="s">
        <v>820</v>
      </c>
      <c r="C1000" s="1133"/>
      <c r="D1000" s="788"/>
      <c r="E1000" s="789">
        <v>0</v>
      </c>
      <c r="F1000" s="786"/>
      <c r="G1000" s="786"/>
      <c r="H1000" s="786"/>
      <c r="I1000" s="786"/>
    </row>
    <row r="1001" spans="1:9" s="790" customFormat="1" ht="30" hidden="1" customHeight="1" outlineLevel="2">
      <c r="A1001" s="779"/>
      <c r="B1001" s="1132" t="s">
        <v>821</v>
      </c>
      <c r="C1001" s="1133"/>
      <c r="D1001" s="788"/>
      <c r="E1001" s="789">
        <v>0</v>
      </c>
      <c r="F1001" s="786"/>
      <c r="G1001" s="786"/>
      <c r="H1001" s="786"/>
      <c r="I1001" s="786"/>
    </row>
    <row r="1002" spans="1:9" s="790" customFormat="1" ht="28.5" hidden="1" customHeight="1" outlineLevel="2">
      <c r="A1002" s="779"/>
      <c r="B1002" s="1132" t="s">
        <v>822</v>
      </c>
      <c r="C1002" s="1133"/>
      <c r="D1002" s="788"/>
      <c r="E1002" s="789">
        <v>0</v>
      </c>
      <c r="F1002" s="786"/>
      <c r="G1002" s="786"/>
      <c r="H1002" s="786"/>
      <c r="I1002" s="786"/>
    </row>
    <row r="1003" spans="1:9" s="790" customFormat="1" ht="28.5" hidden="1" customHeight="1" outlineLevel="2">
      <c r="A1003" s="779"/>
      <c r="B1003" s="1132" t="s">
        <v>823</v>
      </c>
      <c r="C1003" s="1133"/>
      <c r="D1003" s="788"/>
      <c r="E1003" s="789">
        <v>0</v>
      </c>
      <c r="F1003" s="786"/>
      <c r="G1003" s="786"/>
      <c r="H1003" s="786"/>
      <c r="I1003" s="786"/>
    </row>
    <row r="1004" spans="1:9" s="790" customFormat="1" ht="15" hidden="1" outlineLevel="2">
      <c r="A1004" s="791"/>
      <c r="B1004" s="1137"/>
      <c r="C1004" s="1138"/>
      <c r="D1004" s="792"/>
      <c r="E1004" s="792"/>
      <c r="F1004" s="793"/>
      <c r="G1004" s="793"/>
      <c r="H1004" s="793"/>
      <c r="I1004" s="793"/>
    </row>
    <row r="1005" spans="1:9" s="770" customFormat="1" ht="15" outlineLevel="2">
      <c r="A1005" s="771"/>
      <c r="B1005" s="772" t="s">
        <v>751</v>
      </c>
      <c r="C1005" s="773" t="s">
        <v>608</v>
      </c>
      <c r="D1005" s="774">
        <v>2100200225</v>
      </c>
      <c r="E1005" s="775">
        <f>SUM(E1006:E1020)</f>
        <v>118000</v>
      </c>
      <c r="F1005" s="776">
        <f>+[28]เรียงตามเขต!H82</f>
        <v>0</v>
      </c>
      <c r="G1005" s="776">
        <f>+[28]เรียงตามเขต!I82</f>
        <v>0</v>
      </c>
      <c r="H1005" s="776">
        <f>E1005-F1005-G1005</f>
        <v>118000</v>
      </c>
      <c r="I1005" s="776">
        <v>0</v>
      </c>
    </row>
    <row r="1006" spans="1:9" s="783" customFormat="1" ht="47.25" customHeight="1" outlineLevel="2">
      <c r="A1006" s="779"/>
      <c r="B1006" s="1132" t="s">
        <v>819</v>
      </c>
      <c r="C1006" s="1133"/>
      <c r="D1006" s="780"/>
      <c r="E1006" s="781">
        <f>+[28]เรียงตามเขต!G82</f>
        <v>118000</v>
      </c>
      <c r="F1006" s="782">
        <f>+[28]เรียงตามเขต!H82</f>
        <v>0</v>
      </c>
      <c r="G1006" s="782">
        <f>+[28]เรียงตามเขต!I82</f>
        <v>0</v>
      </c>
      <c r="H1006" s="782"/>
      <c r="I1006" s="782"/>
    </row>
    <row r="1007" spans="1:9" s="783" customFormat="1" ht="15" hidden="1" outlineLevel="2">
      <c r="A1007" s="779"/>
      <c r="B1007" s="1132"/>
      <c r="C1007" s="1133"/>
      <c r="D1007" s="780"/>
      <c r="E1007" s="781"/>
      <c r="F1007" s="782"/>
      <c r="G1007" s="782"/>
      <c r="H1007" s="782"/>
      <c r="I1007" s="782"/>
    </row>
    <row r="1008" spans="1:9" s="783" customFormat="1" ht="18" hidden="1" customHeight="1" outlineLevel="2">
      <c r="A1008" s="779"/>
      <c r="B1008" s="1132"/>
      <c r="C1008" s="1133"/>
      <c r="D1008" s="780"/>
      <c r="E1008" s="781"/>
      <c r="F1008" s="782"/>
      <c r="G1008" s="782"/>
      <c r="H1008" s="782"/>
      <c r="I1008" s="782"/>
    </row>
    <row r="1009" spans="1:9" s="783" customFormat="1" ht="18" hidden="1" customHeight="1" outlineLevel="2">
      <c r="A1009" s="779"/>
      <c r="B1009" s="1132"/>
      <c r="C1009" s="1133"/>
      <c r="D1009" s="780"/>
      <c r="E1009" s="781"/>
      <c r="F1009" s="782"/>
      <c r="G1009" s="782"/>
      <c r="H1009" s="782"/>
      <c r="I1009" s="782"/>
    </row>
    <row r="1010" spans="1:9" s="787" customFormat="1" ht="18.75" hidden="1" customHeight="1" outlineLevel="2">
      <c r="A1010" s="779"/>
      <c r="B1010" s="1132"/>
      <c r="C1010" s="1133"/>
      <c r="D1010" s="784"/>
      <c r="E1010" s="785"/>
      <c r="F1010" s="786"/>
      <c r="G1010" s="786"/>
      <c r="H1010" s="786"/>
      <c r="I1010" s="786"/>
    </row>
    <row r="1011" spans="1:9" s="787" customFormat="1" ht="48.75" hidden="1" customHeight="1" outlineLevel="2">
      <c r="A1011" s="779"/>
      <c r="B1011" s="1132"/>
      <c r="C1011" s="1133"/>
      <c r="D1011" s="784"/>
      <c r="E1011" s="785"/>
      <c r="F1011" s="786"/>
      <c r="G1011" s="786"/>
      <c r="H1011" s="786"/>
      <c r="I1011" s="786"/>
    </row>
    <row r="1012" spans="1:9" s="787" customFormat="1" ht="33" hidden="1" customHeight="1" outlineLevel="2">
      <c r="A1012" s="779"/>
      <c r="B1012" s="1132"/>
      <c r="C1012" s="1133"/>
      <c r="D1012" s="784"/>
      <c r="E1012" s="785"/>
      <c r="F1012" s="786"/>
      <c r="G1012" s="786"/>
      <c r="H1012" s="786"/>
      <c r="I1012" s="786"/>
    </row>
    <row r="1013" spans="1:9" s="787" customFormat="1" ht="33" hidden="1" customHeight="1" outlineLevel="2">
      <c r="A1013" s="779"/>
      <c r="B1013" s="1132"/>
      <c r="C1013" s="1133"/>
      <c r="D1013" s="784"/>
      <c r="E1013" s="785"/>
      <c r="F1013" s="786"/>
      <c r="G1013" s="786"/>
      <c r="H1013" s="786"/>
      <c r="I1013" s="786"/>
    </row>
    <row r="1014" spans="1:9" s="787" customFormat="1" ht="16.5" hidden="1" customHeight="1" outlineLevel="2">
      <c r="A1014" s="779"/>
      <c r="B1014" s="1132"/>
      <c r="C1014" s="1133"/>
      <c r="D1014" s="784"/>
      <c r="E1014" s="785"/>
      <c r="F1014" s="786"/>
      <c r="G1014" s="786"/>
      <c r="H1014" s="786"/>
      <c r="I1014" s="786"/>
    </row>
    <row r="1015" spans="1:9" s="790" customFormat="1" ht="36" hidden="1" customHeight="1" outlineLevel="2">
      <c r="A1015" s="779"/>
      <c r="B1015" s="1132"/>
      <c r="C1015" s="1133"/>
      <c r="D1015" s="788"/>
      <c r="E1015" s="789"/>
      <c r="F1015" s="786"/>
      <c r="G1015" s="786"/>
      <c r="H1015" s="786"/>
      <c r="I1015" s="786"/>
    </row>
    <row r="1016" spans="1:9" s="790" customFormat="1" ht="15" hidden="1" outlineLevel="2">
      <c r="A1016" s="779"/>
      <c r="B1016" s="1132"/>
      <c r="C1016" s="1133"/>
      <c r="D1016" s="788"/>
      <c r="E1016" s="789"/>
      <c r="F1016" s="786"/>
      <c r="G1016" s="786"/>
      <c r="H1016" s="786"/>
      <c r="I1016" s="786"/>
    </row>
    <row r="1017" spans="1:9" s="790" customFormat="1" ht="30" hidden="1" customHeight="1" outlineLevel="2">
      <c r="A1017" s="779"/>
      <c r="B1017" s="1132"/>
      <c r="C1017" s="1133"/>
      <c r="D1017" s="788"/>
      <c r="E1017" s="789"/>
      <c r="F1017" s="786"/>
      <c r="G1017" s="786"/>
      <c r="H1017" s="786"/>
      <c r="I1017" s="786"/>
    </row>
    <row r="1018" spans="1:9" s="790" customFormat="1" ht="28.5" hidden="1" customHeight="1" outlineLevel="2">
      <c r="A1018" s="779"/>
      <c r="B1018" s="1132"/>
      <c r="C1018" s="1133"/>
      <c r="D1018" s="788"/>
      <c r="E1018" s="789"/>
      <c r="F1018" s="786"/>
      <c r="G1018" s="786"/>
      <c r="H1018" s="786"/>
      <c r="I1018" s="786"/>
    </row>
    <row r="1019" spans="1:9" s="790" customFormat="1" ht="28.5" hidden="1" customHeight="1" outlineLevel="2">
      <c r="A1019" s="779"/>
      <c r="B1019" s="1132"/>
      <c r="C1019" s="1133"/>
      <c r="D1019" s="788"/>
      <c r="E1019" s="789"/>
      <c r="F1019" s="786"/>
      <c r="G1019" s="786"/>
      <c r="H1019" s="786"/>
      <c r="I1019" s="786"/>
    </row>
    <row r="1020" spans="1:9" s="790" customFormat="1" ht="15" hidden="1" outlineLevel="2">
      <c r="A1020" s="779"/>
      <c r="B1020" s="1132"/>
      <c r="C1020" s="1133"/>
      <c r="D1020" s="784"/>
      <c r="E1020" s="785"/>
      <c r="F1020" s="786"/>
      <c r="G1020" s="786"/>
      <c r="H1020" s="786"/>
      <c r="I1020" s="786"/>
    </row>
    <row r="1021" spans="1:9" s="770" customFormat="1" ht="15" hidden="1" outlineLevel="2">
      <c r="A1021" s="771"/>
      <c r="B1021" s="772" t="s">
        <v>774</v>
      </c>
      <c r="C1021" s="773" t="s">
        <v>610</v>
      </c>
      <c r="D1021" s="774">
        <v>2100200227</v>
      </c>
      <c r="E1021" s="775">
        <f>SUM(E1022:E1036)</f>
        <v>0</v>
      </c>
      <c r="F1021" s="776">
        <f>+[28]เรียงตามเขต!H83</f>
        <v>0</v>
      </c>
      <c r="G1021" s="776">
        <f>+[28]เรียงตามเขต!I83</f>
        <v>0</v>
      </c>
      <c r="H1021" s="776">
        <f>E1021-F1021-G1021</f>
        <v>0</v>
      </c>
      <c r="I1021" s="776">
        <v>0</v>
      </c>
    </row>
    <row r="1022" spans="1:9" s="783" customFormat="1" ht="47.25" hidden="1" customHeight="1" outlineLevel="2">
      <c r="A1022" s="779"/>
      <c r="B1022" s="1132"/>
      <c r="C1022" s="1133"/>
      <c r="D1022" s="780"/>
      <c r="E1022" s="781"/>
      <c r="F1022" s="782"/>
      <c r="G1022" s="782"/>
      <c r="H1022" s="782"/>
      <c r="I1022" s="782"/>
    </row>
    <row r="1023" spans="1:9" s="783" customFormat="1" ht="15" hidden="1" outlineLevel="2">
      <c r="A1023" s="779"/>
      <c r="B1023" s="1132"/>
      <c r="C1023" s="1133"/>
      <c r="D1023" s="780"/>
      <c r="E1023" s="781"/>
      <c r="F1023" s="782"/>
      <c r="G1023" s="782"/>
      <c r="H1023" s="782"/>
      <c r="I1023" s="782"/>
    </row>
    <row r="1024" spans="1:9" s="783" customFormat="1" ht="18" hidden="1" customHeight="1" outlineLevel="2">
      <c r="A1024" s="779"/>
      <c r="B1024" s="1132"/>
      <c r="C1024" s="1133"/>
      <c r="D1024" s="780"/>
      <c r="E1024" s="781"/>
      <c r="F1024" s="782"/>
      <c r="G1024" s="782"/>
      <c r="H1024" s="782"/>
      <c r="I1024" s="782"/>
    </row>
    <row r="1025" spans="1:9" s="783" customFormat="1" ht="18" hidden="1" customHeight="1" outlineLevel="2">
      <c r="A1025" s="779"/>
      <c r="B1025" s="1132"/>
      <c r="C1025" s="1133"/>
      <c r="D1025" s="780"/>
      <c r="E1025" s="781"/>
      <c r="F1025" s="782"/>
      <c r="G1025" s="782"/>
      <c r="H1025" s="782"/>
      <c r="I1025" s="782"/>
    </row>
    <row r="1026" spans="1:9" s="787" customFormat="1" ht="18.75" hidden="1" customHeight="1" outlineLevel="2">
      <c r="A1026" s="779"/>
      <c r="B1026" s="1132"/>
      <c r="C1026" s="1133"/>
      <c r="D1026" s="784"/>
      <c r="E1026" s="785"/>
      <c r="F1026" s="786"/>
      <c r="G1026" s="786"/>
      <c r="H1026" s="786"/>
      <c r="I1026" s="786"/>
    </row>
    <row r="1027" spans="1:9" s="787" customFormat="1" ht="48.75" hidden="1" customHeight="1" outlineLevel="2">
      <c r="A1027" s="779"/>
      <c r="B1027" s="1132"/>
      <c r="C1027" s="1133"/>
      <c r="D1027" s="784"/>
      <c r="E1027" s="785"/>
      <c r="F1027" s="786"/>
      <c r="G1027" s="786"/>
      <c r="H1027" s="786"/>
      <c r="I1027" s="786"/>
    </row>
    <row r="1028" spans="1:9" s="787" customFormat="1" ht="33" hidden="1" customHeight="1" outlineLevel="2">
      <c r="A1028" s="779"/>
      <c r="B1028" s="1132"/>
      <c r="C1028" s="1133"/>
      <c r="D1028" s="784"/>
      <c r="E1028" s="785"/>
      <c r="F1028" s="786"/>
      <c r="G1028" s="786"/>
      <c r="H1028" s="786"/>
      <c r="I1028" s="786"/>
    </row>
    <row r="1029" spans="1:9" s="787" customFormat="1" ht="33" hidden="1" customHeight="1" outlineLevel="2">
      <c r="A1029" s="779"/>
      <c r="B1029" s="1132"/>
      <c r="C1029" s="1133"/>
      <c r="D1029" s="784"/>
      <c r="E1029" s="785"/>
      <c r="F1029" s="786"/>
      <c r="G1029" s="786"/>
      <c r="H1029" s="786"/>
      <c r="I1029" s="786"/>
    </row>
    <row r="1030" spans="1:9" s="787" customFormat="1" ht="16.5" hidden="1" customHeight="1" outlineLevel="2">
      <c r="A1030" s="779"/>
      <c r="B1030" s="1132"/>
      <c r="C1030" s="1133"/>
      <c r="D1030" s="784"/>
      <c r="E1030" s="785"/>
      <c r="F1030" s="786"/>
      <c r="G1030" s="786"/>
      <c r="H1030" s="786"/>
      <c r="I1030" s="786"/>
    </row>
    <row r="1031" spans="1:9" s="790" customFormat="1" ht="36" hidden="1" customHeight="1" outlineLevel="2">
      <c r="A1031" s="779"/>
      <c r="B1031" s="1132"/>
      <c r="C1031" s="1133"/>
      <c r="D1031" s="788"/>
      <c r="E1031" s="789"/>
      <c r="F1031" s="786"/>
      <c r="G1031" s="786"/>
      <c r="H1031" s="786"/>
      <c r="I1031" s="786"/>
    </row>
    <row r="1032" spans="1:9" s="790" customFormat="1" ht="15" hidden="1" outlineLevel="2">
      <c r="A1032" s="779"/>
      <c r="B1032" s="1132"/>
      <c r="C1032" s="1133"/>
      <c r="D1032" s="788"/>
      <c r="E1032" s="789"/>
      <c r="F1032" s="786"/>
      <c r="G1032" s="786"/>
      <c r="H1032" s="786"/>
      <c r="I1032" s="786"/>
    </row>
    <row r="1033" spans="1:9" s="790" customFormat="1" ht="30" hidden="1" customHeight="1" outlineLevel="2">
      <c r="A1033" s="779"/>
      <c r="B1033" s="1132"/>
      <c r="C1033" s="1133"/>
      <c r="D1033" s="788"/>
      <c r="E1033" s="789"/>
      <c r="F1033" s="786"/>
      <c r="G1033" s="786"/>
      <c r="H1033" s="786"/>
      <c r="I1033" s="786"/>
    </row>
    <row r="1034" spans="1:9" s="790" customFormat="1" ht="28.5" hidden="1" customHeight="1" outlineLevel="2">
      <c r="A1034" s="779"/>
      <c r="B1034" s="1132"/>
      <c r="C1034" s="1133"/>
      <c r="D1034" s="788"/>
      <c r="E1034" s="789"/>
      <c r="F1034" s="786"/>
      <c r="G1034" s="786"/>
      <c r="H1034" s="786"/>
      <c r="I1034" s="786"/>
    </row>
    <row r="1035" spans="1:9" s="790" customFormat="1" ht="28.5" hidden="1" customHeight="1" outlineLevel="2">
      <c r="A1035" s="779"/>
      <c r="B1035" s="1132"/>
      <c r="C1035" s="1133"/>
      <c r="D1035" s="788"/>
      <c r="E1035" s="789"/>
      <c r="F1035" s="786"/>
      <c r="G1035" s="786"/>
      <c r="H1035" s="786"/>
      <c r="I1035" s="786"/>
    </row>
    <row r="1036" spans="1:9" s="790" customFormat="1" ht="15" hidden="1" outlineLevel="2">
      <c r="A1036" s="779"/>
      <c r="B1036" s="1132"/>
      <c r="C1036" s="1133"/>
      <c r="D1036" s="784"/>
      <c r="E1036" s="785"/>
      <c r="F1036" s="786"/>
      <c r="G1036" s="786"/>
      <c r="H1036" s="786"/>
      <c r="I1036" s="786"/>
    </row>
    <row r="1037" spans="1:9" s="770" customFormat="1" ht="15" hidden="1" outlineLevel="2">
      <c r="A1037" s="771"/>
      <c r="B1037" s="772" t="s">
        <v>775</v>
      </c>
      <c r="C1037" s="773" t="s">
        <v>612</v>
      </c>
      <c r="D1037" s="774">
        <v>2100200230</v>
      </c>
      <c r="E1037" s="775">
        <f>SUM(E1038:E1052)</f>
        <v>0</v>
      </c>
      <c r="F1037" s="776">
        <f>+[28]เรียงตามเขต!H84</f>
        <v>0</v>
      </c>
      <c r="G1037" s="776">
        <f>+[28]เรียงตามเขต!I84</f>
        <v>0</v>
      </c>
      <c r="H1037" s="776">
        <f>E1037-F1037-G1037</f>
        <v>0</v>
      </c>
      <c r="I1037" s="776">
        <v>0</v>
      </c>
    </row>
    <row r="1038" spans="1:9" s="783" customFormat="1" ht="47.25" hidden="1" customHeight="1" outlineLevel="2">
      <c r="A1038" s="779"/>
      <c r="B1038" s="1132"/>
      <c r="C1038" s="1133"/>
      <c r="D1038" s="780"/>
      <c r="E1038" s="781"/>
      <c r="F1038" s="782"/>
      <c r="G1038" s="782"/>
      <c r="H1038" s="782"/>
      <c r="I1038" s="782"/>
    </row>
    <row r="1039" spans="1:9" s="783" customFormat="1" ht="15" hidden="1" outlineLevel="2">
      <c r="A1039" s="779"/>
      <c r="B1039" s="1132"/>
      <c r="C1039" s="1133"/>
      <c r="D1039" s="780"/>
      <c r="E1039" s="781"/>
      <c r="F1039" s="782"/>
      <c r="G1039" s="782"/>
      <c r="H1039" s="782"/>
      <c r="I1039" s="782"/>
    </row>
    <row r="1040" spans="1:9" s="783" customFormat="1" ht="18" hidden="1" customHeight="1" outlineLevel="2">
      <c r="A1040" s="779"/>
      <c r="B1040" s="1132"/>
      <c r="C1040" s="1133"/>
      <c r="D1040" s="780"/>
      <c r="E1040" s="781"/>
      <c r="F1040" s="782"/>
      <c r="G1040" s="782"/>
      <c r="H1040" s="782"/>
      <c r="I1040" s="782"/>
    </row>
    <row r="1041" spans="1:9" s="783" customFormat="1" ht="18" hidden="1" customHeight="1" outlineLevel="2">
      <c r="A1041" s="779"/>
      <c r="B1041" s="1132"/>
      <c r="C1041" s="1133"/>
      <c r="D1041" s="780"/>
      <c r="E1041" s="781"/>
      <c r="F1041" s="782"/>
      <c r="G1041" s="782"/>
      <c r="H1041" s="782"/>
      <c r="I1041" s="782"/>
    </row>
    <row r="1042" spans="1:9" s="787" customFormat="1" ht="18.75" hidden="1" customHeight="1" outlineLevel="2">
      <c r="A1042" s="779"/>
      <c r="B1042" s="1132"/>
      <c r="C1042" s="1133"/>
      <c r="D1042" s="784"/>
      <c r="E1042" s="785"/>
      <c r="F1042" s="786"/>
      <c r="G1042" s="786"/>
      <c r="H1042" s="786"/>
      <c r="I1042" s="786"/>
    </row>
    <row r="1043" spans="1:9" s="787" customFormat="1" ht="48.75" hidden="1" customHeight="1" outlineLevel="2">
      <c r="A1043" s="779"/>
      <c r="B1043" s="1132"/>
      <c r="C1043" s="1133"/>
      <c r="D1043" s="784"/>
      <c r="E1043" s="785"/>
      <c r="F1043" s="786"/>
      <c r="G1043" s="786"/>
      <c r="H1043" s="786"/>
      <c r="I1043" s="786"/>
    </row>
    <row r="1044" spans="1:9" s="787" customFormat="1" ht="33" hidden="1" customHeight="1" outlineLevel="2">
      <c r="A1044" s="779"/>
      <c r="B1044" s="1132"/>
      <c r="C1044" s="1133"/>
      <c r="D1044" s="784"/>
      <c r="E1044" s="785"/>
      <c r="F1044" s="786"/>
      <c r="G1044" s="786"/>
      <c r="H1044" s="786"/>
      <c r="I1044" s="786"/>
    </row>
    <row r="1045" spans="1:9" s="787" customFormat="1" ht="33" hidden="1" customHeight="1" outlineLevel="2">
      <c r="A1045" s="779"/>
      <c r="B1045" s="1132"/>
      <c r="C1045" s="1133"/>
      <c r="D1045" s="784"/>
      <c r="E1045" s="785"/>
      <c r="F1045" s="786"/>
      <c r="G1045" s="786"/>
      <c r="H1045" s="786"/>
      <c r="I1045" s="786"/>
    </row>
    <row r="1046" spans="1:9" s="787" customFormat="1" ht="16.5" hidden="1" customHeight="1" outlineLevel="2">
      <c r="A1046" s="779"/>
      <c r="B1046" s="1132"/>
      <c r="C1046" s="1133"/>
      <c r="D1046" s="784"/>
      <c r="E1046" s="785"/>
      <c r="F1046" s="786"/>
      <c r="G1046" s="786"/>
      <c r="H1046" s="786"/>
      <c r="I1046" s="786"/>
    </row>
    <row r="1047" spans="1:9" s="790" customFormat="1" ht="36" hidden="1" customHeight="1" outlineLevel="2">
      <c r="A1047" s="779"/>
      <c r="B1047" s="1132"/>
      <c r="C1047" s="1133"/>
      <c r="D1047" s="788"/>
      <c r="E1047" s="789"/>
      <c r="F1047" s="786"/>
      <c r="G1047" s="786"/>
      <c r="H1047" s="786"/>
      <c r="I1047" s="786"/>
    </row>
    <row r="1048" spans="1:9" s="790" customFormat="1" ht="15" hidden="1" outlineLevel="2">
      <c r="A1048" s="779"/>
      <c r="B1048" s="1132"/>
      <c r="C1048" s="1133"/>
      <c r="D1048" s="788"/>
      <c r="E1048" s="789"/>
      <c r="F1048" s="786"/>
      <c r="G1048" s="786"/>
      <c r="H1048" s="786"/>
      <c r="I1048" s="786"/>
    </row>
    <row r="1049" spans="1:9" s="790" customFormat="1" ht="30" hidden="1" customHeight="1" outlineLevel="2">
      <c r="A1049" s="779"/>
      <c r="B1049" s="1132"/>
      <c r="C1049" s="1133"/>
      <c r="D1049" s="788"/>
      <c r="E1049" s="789"/>
      <c r="F1049" s="786"/>
      <c r="G1049" s="786"/>
      <c r="H1049" s="786"/>
      <c r="I1049" s="786"/>
    </row>
    <row r="1050" spans="1:9" s="790" customFormat="1" ht="28.5" hidden="1" customHeight="1" outlineLevel="2">
      <c r="A1050" s="779"/>
      <c r="B1050" s="1132"/>
      <c r="C1050" s="1133"/>
      <c r="D1050" s="788"/>
      <c r="E1050" s="789"/>
      <c r="F1050" s="786"/>
      <c r="G1050" s="786"/>
      <c r="H1050" s="786"/>
      <c r="I1050" s="786"/>
    </row>
    <row r="1051" spans="1:9" s="790" customFormat="1" ht="28.5" hidden="1" customHeight="1" outlineLevel="2">
      <c r="A1051" s="779"/>
      <c r="B1051" s="1132"/>
      <c r="C1051" s="1133"/>
      <c r="D1051" s="788"/>
      <c r="E1051" s="789"/>
      <c r="F1051" s="786"/>
      <c r="G1051" s="786"/>
      <c r="H1051" s="786"/>
      <c r="I1051" s="786"/>
    </row>
    <row r="1052" spans="1:9" s="790" customFormat="1" ht="15" hidden="1" outlineLevel="2">
      <c r="A1052" s="791"/>
      <c r="B1052" s="1137"/>
      <c r="C1052" s="1138"/>
      <c r="D1052" s="799"/>
      <c r="E1052" s="800"/>
      <c r="F1052" s="793"/>
      <c r="G1052" s="793"/>
      <c r="H1052" s="793"/>
      <c r="I1052" s="793"/>
    </row>
    <row r="1053" spans="1:9" s="770" customFormat="1" ht="15" outlineLevel="2">
      <c r="A1053" s="771"/>
      <c r="B1053" s="772" t="s">
        <v>752</v>
      </c>
      <c r="C1053" s="773" t="s">
        <v>614</v>
      </c>
      <c r="D1053" s="774">
        <v>2100200232</v>
      </c>
      <c r="E1053" s="775">
        <f>SUM(E1054:E1069)</f>
        <v>131000</v>
      </c>
      <c r="F1053" s="776">
        <f>+[28]เรียงตามเขต!H85</f>
        <v>0</v>
      </c>
      <c r="G1053" s="776">
        <f>+[28]เรียงตามเขต!I85</f>
        <v>0</v>
      </c>
      <c r="H1053" s="776">
        <f>E1053-F1053-G1053</f>
        <v>131000</v>
      </c>
      <c r="I1053" s="776">
        <v>0</v>
      </c>
    </row>
    <row r="1054" spans="1:9" s="783" customFormat="1" ht="47.25" customHeight="1" outlineLevel="2">
      <c r="A1054" s="779"/>
      <c r="B1054" s="1132" t="s">
        <v>819</v>
      </c>
      <c r="C1054" s="1133"/>
      <c r="D1054" s="780"/>
      <c r="E1054" s="781">
        <f>+[28]เรียงตามเขต!G85</f>
        <v>131000</v>
      </c>
      <c r="F1054" s="782">
        <f>+[28]เรียงตามเขต!H85</f>
        <v>0</v>
      </c>
      <c r="G1054" s="782">
        <f>+[28]เรียงตามเขต!I85</f>
        <v>0</v>
      </c>
      <c r="H1054" s="782"/>
      <c r="I1054" s="782"/>
    </row>
    <row r="1055" spans="1:9" s="783" customFormat="1" ht="15" hidden="1" outlineLevel="2">
      <c r="A1055" s="779"/>
      <c r="B1055" s="1132"/>
      <c r="C1055" s="1133"/>
      <c r="D1055" s="780"/>
      <c r="E1055" s="781"/>
      <c r="F1055" s="782"/>
      <c r="G1055" s="782"/>
      <c r="H1055" s="782"/>
      <c r="I1055" s="782"/>
    </row>
    <row r="1056" spans="1:9" s="783" customFormat="1" ht="18" hidden="1" customHeight="1" outlineLevel="2">
      <c r="A1056" s="779"/>
      <c r="B1056" s="1132"/>
      <c r="C1056" s="1133"/>
      <c r="D1056" s="780"/>
      <c r="E1056" s="781"/>
      <c r="F1056" s="782"/>
      <c r="G1056" s="782"/>
      <c r="H1056" s="782"/>
      <c r="I1056" s="782"/>
    </row>
    <row r="1057" spans="1:9" s="783" customFormat="1" ht="18" hidden="1" customHeight="1" outlineLevel="2">
      <c r="A1057" s="779"/>
      <c r="B1057" s="1132"/>
      <c r="C1057" s="1133"/>
      <c r="D1057" s="780"/>
      <c r="E1057" s="781"/>
      <c r="F1057" s="782"/>
      <c r="G1057" s="782"/>
      <c r="H1057" s="782"/>
      <c r="I1057" s="782"/>
    </row>
    <row r="1058" spans="1:9" s="787" customFormat="1" ht="18.75" hidden="1" customHeight="1" outlineLevel="2">
      <c r="A1058" s="779"/>
      <c r="B1058" s="1132"/>
      <c r="C1058" s="1133"/>
      <c r="D1058" s="784"/>
      <c r="E1058" s="785"/>
      <c r="F1058" s="786"/>
      <c r="G1058" s="786"/>
      <c r="H1058" s="786"/>
      <c r="I1058" s="786"/>
    </row>
    <row r="1059" spans="1:9" s="787" customFormat="1" ht="48.75" hidden="1" customHeight="1" outlineLevel="2">
      <c r="A1059" s="779"/>
      <c r="B1059" s="1132"/>
      <c r="C1059" s="1133"/>
      <c r="D1059" s="784"/>
      <c r="E1059" s="785"/>
      <c r="F1059" s="786"/>
      <c r="G1059" s="786"/>
      <c r="H1059" s="786"/>
      <c r="I1059" s="786"/>
    </row>
    <row r="1060" spans="1:9" s="787" customFormat="1" ht="33" hidden="1" customHeight="1" outlineLevel="2">
      <c r="A1060" s="779"/>
      <c r="B1060" s="1132"/>
      <c r="C1060" s="1133"/>
      <c r="D1060" s="784"/>
      <c r="E1060" s="785"/>
      <c r="F1060" s="786"/>
      <c r="G1060" s="786"/>
      <c r="H1060" s="786"/>
      <c r="I1060" s="786"/>
    </row>
    <row r="1061" spans="1:9" s="787" customFormat="1" ht="33" hidden="1" customHeight="1" outlineLevel="2">
      <c r="A1061" s="779"/>
      <c r="B1061" s="1132"/>
      <c r="C1061" s="1133"/>
      <c r="D1061" s="784"/>
      <c r="E1061" s="785"/>
      <c r="F1061" s="786"/>
      <c r="G1061" s="786"/>
      <c r="H1061" s="786"/>
      <c r="I1061" s="786"/>
    </row>
    <row r="1062" spans="1:9" s="787" customFormat="1" ht="30.75" hidden="1" customHeight="1" outlineLevel="2">
      <c r="A1062" s="779"/>
      <c r="B1062" s="1132"/>
      <c r="C1062" s="1133"/>
      <c r="D1062" s="784"/>
      <c r="E1062" s="785"/>
      <c r="F1062" s="786"/>
      <c r="G1062" s="786"/>
      <c r="H1062" s="786"/>
      <c r="I1062" s="786"/>
    </row>
    <row r="1063" spans="1:9" s="787" customFormat="1" ht="16.5" hidden="1" customHeight="1" outlineLevel="2">
      <c r="A1063" s="779"/>
      <c r="B1063" s="1132"/>
      <c r="C1063" s="1133"/>
      <c r="D1063" s="784"/>
      <c r="E1063" s="785"/>
      <c r="F1063" s="786"/>
      <c r="G1063" s="786"/>
      <c r="H1063" s="786"/>
      <c r="I1063" s="786"/>
    </row>
    <row r="1064" spans="1:9" s="790" customFormat="1" ht="36" hidden="1" customHeight="1" outlineLevel="2">
      <c r="A1064" s="779"/>
      <c r="B1064" s="1132"/>
      <c r="C1064" s="1133"/>
      <c r="D1064" s="788"/>
      <c r="E1064" s="789"/>
      <c r="F1064" s="786"/>
      <c r="G1064" s="786"/>
      <c r="H1064" s="786"/>
      <c r="I1064" s="786"/>
    </row>
    <row r="1065" spans="1:9" s="790" customFormat="1" ht="15" hidden="1" outlineLevel="2">
      <c r="A1065" s="779"/>
      <c r="B1065" s="1132"/>
      <c r="C1065" s="1133"/>
      <c r="D1065" s="788"/>
      <c r="E1065" s="789"/>
      <c r="F1065" s="786"/>
      <c r="G1065" s="786"/>
      <c r="H1065" s="786"/>
      <c r="I1065" s="786"/>
    </row>
    <row r="1066" spans="1:9" s="790" customFormat="1" ht="30" hidden="1" customHeight="1" outlineLevel="2">
      <c r="A1066" s="779"/>
      <c r="B1066" s="1132"/>
      <c r="C1066" s="1133"/>
      <c r="D1066" s="788"/>
      <c r="E1066" s="789"/>
      <c r="F1066" s="786"/>
      <c r="G1066" s="786"/>
      <c r="H1066" s="786"/>
      <c r="I1066" s="786"/>
    </row>
    <row r="1067" spans="1:9" s="790" customFormat="1" ht="17.25" hidden="1" customHeight="1" outlineLevel="2">
      <c r="A1067" s="791"/>
      <c r="B1067" s="1137"/>
      <c r="C1067" s="1138"/>
      <c r="D1067" s="792"/>
      <c r="E1067" s="835"/>
      <c r="F1067" s="793"/>
      <c r="G1067" s="793"/>
      <c r="H1067" s="793"/>
      <c r="I1067" s="793"/>
    </row>
    <row r="1068" spans="1:9" s="790" customFormat="1" ht="28.5" hidden="1" customHeight="1" outlineLevel="2">
      <c r="A1068" s="779"/>
      <c r="B1068" s="1132"/>
      <c r="C1068" s="1133"/>
      <c r="D1068" s="788"/>
      <c r="E1068" s="789"/>
      <c r="F1068" s="786"/>
      <c r="G1068" s="786"/>
      <c r="H1068" s="786"/>
      <c r="I1068" s="786"/>
    </row>
    <row r="1069" spans="1:9" s="790" customFormat="1" ht="15" hidden="1" outlineLevel="2">
      <c r="A1069" s="791"/>
      <c r="B1069" s="1139"/>
      <c r="C1069" s="1140"/>
      <c r="D1069" s="799"/>
      <c r="E1069" s="792"/>
      <c r="F1069" s="793"/>
      <c r="G1069" s="793"/>
      <c r="H1069" s="793"/>
      <c r="I1069" s="793"/>
    </row>
    <row r="1070" spans="1:9" s="770" customFormat="1" ht="15" outlineLevel="2">
      <c r="A1070" s="771"/>
      <c r="B1070" s="772" t="s">
        <v>753</v>
      </c>
      <c r="C1070" s="773" t="s">
        <v>616</v>
      </c>
      <c r="D1070" s="774">
        <v>2100200235</v>
      </c>
      <c r="E1070" s="775">
        <f>SUM(E1071:E1085)</f>
        <v>134960</v>
      </c>
      <c r="F1070" s="776">
        <f>+[28]เรียงตามเขต!H86</f>
        <v>0</v>
      </c>
      <c r="G1070" s="776">
        <f>+[28]เรียงตามเขต!I86</f>
        <v>0</v>
      </c>
      <c r="H1070" s="776">
        <f>E1070-F1070-G1070</f>
        <v>134960</v>
      </c>
      <c r="I1070" s="776">
        <v>0</v>
      </c>
    </row>
    <row r="1071" spans="1:9" s="783" customFormat="1" ht="47.25" customHeight="1" outlineLevel="2">
      <c r="A1071" s="779"/>
      <c r="B1071" s="1132" t="s">
        <v>819</v>
      </c>
      <c r="C1071" s="1133"/>
      <c r="D1071" s="780"/>
      <c r="E1071" s="781">
        <f>+[28]เรียงตามเขต!G86</f>
        <v>134960</v>
      </c>
      <c r="F1071" s="782">
        <f>+[28]เรียงตามเขต!H86</f>
        <v>0</v>
      </c>
      <c r="G1071" s="782">
        <f>+[28]เรียงตามเขต!I86</f>
        <v>0</v>
      </c>
      <c r="H1071" s="782"/>
      <c r="I1071" s="782"/>
    </row>
    <row r="1072" spans="1:9" s="783" customFormat="1" ht="15" hidden="1" outlineLevel="2">
      <c r="A1072" s="779"/>
      <c r="B1072" s="1132"/>
      <c r="C1072" s="1133"/>
      <c r="D1072" s="780"/>
      <c r="E1072" s="781"/>
      <c r="F1072" s="782"/>
      <c r="G1072" s="782"/>
      <c r="H1072" s="782"/>
      <c r="I1072" s="782"/>
    </row>
    <row r="1073" spans="1:9" s="783" customFormat="1" ht="18" hidden="1" customHeight="1" outlineLevel="2">
      <c r="A1073" s="779"/>
      <c r="B1073" s="1132"/>
      <c r="C1073" s="1133"/>
      <c r="D1073" s="780"/>
      <c r="E1073" s="781"/>
      <c r="F1073" s="782"/>
      <c r="G1073" s="782"/>
      <c r="H1073" s="782"/>
      <c r="I1073" s="782"/>
    </row>
    <row r="1074" spans="1:9" s="783" customFormat="1" ht="18" hidden="1" customHeight="1" outlineLevel="2">
      <c r="A1074" s="779"/>
      <c r="B1074" s="1132"/>
      <c r="C1074" s="1133"/>
      <c r="D1074" s="780"/>
      <c r="E1074" s="781"/>
      <c r="F1074" s="782"/>
      <c r="G1074" s="782"/>
      <c r="H1074" s="782"/>
      <c r="I1074" s="782"/>
    </row>
    <row r="1075" spans="1:9" s="787" customFormat="1" ht="18.75" hidden="1" customHeight="1" outlineLevel="2">
      <c r="A1075" s="779"/>
      <c r="B1075" s="1132"/>
      <c r="C1075" s="1133"/>
      <c r="D1075" s="784"/>
      <c r="E1075" s="785"/>
      <c r="F1075" s="786"/>
      <c r="G1075" s="786"/>
      <c r="H1075" s="786"/>
      <c r="I1075" s="786"/>
    </row>
    <row r="1076" spans="1:9" s="787" customFormat="1" ht="48.75" hidden="1" customHeight="1" outlineLevel="2">
      <c r="A1076" s="779"/>
      <c r="B1076" s="1132"/>
      <c r="C1076" s="1133"/>
      <c r="D1076" s="784"/>
      <c r="E1076" s="785"/>
      <c r="F1076" s="786"/>
      <c r="G1076" s="786"/>
      <c r="H1076" s="786"/>
      <c r="I1076" s="786"/>
    </row>
    <row r="1077" spans="1:9" s="787" customFormat="1" ht="33" hidden="1" customHeight="1" outlineLevel="2">
      <c r="A1077" s="779"/>
      <c r="B1077" s="1132"/>
      <c r="C1077" s="1133"/>
      <c r="D1077" s="784"/>
      <c r="E1077" s="785"/>
      <c r="F1077" s="786"/>
      <c r="G1077" s="786"/>
      <c r="H1077" s="786"/>
      <c r="I1077" s="786"/>
    </row>
    <row r="1078" spans="1:9" s="787" customFormat="1" ht="33" hidden="1" customHeight="1" outlineLevel="2">
      <c r="A1078" s="779"/>
      <c r="B1078" s="1132"/>
      <c r="C1078" s="1133"/>
      <c r="D1078" s="784"/>
      <c r="E1078" s="785"/>
      <c r="F1078" s="786"/>
      <c r="G1078" s="786"/>
      <c r="H1078" s="786"/>
      <c r="I1078" s="786"/>
    </row>
    <row r="1079" spans="1:9" s="787" customFormat="1" ht="16.5" hidden="1" customHeight="1" outlineLevel="2">
      <c r="A1079" s="779"/>
      <c r="B1079" s="1132"/>
      <c r="C1079" s="1133"/>
      <c r="D1079" s="784"/>
      <c r="E1079" s="785"/>
      <c r="F1079" s="786"/>
      <c r="G1079" s="786"/>
      <c r="H1079" s="786"/>
      <c r="I1079" s="786"/>
    </row>
    <row r="1080" spans="1:9" s="790" customFormat="1" ht="36" hidden="1" customHeight="1" outlineLevel="2">
      <c r="A1080" s="779"/>
      <c r="B1080" s="1132"/>
      <c r="C1080" s="1133"/>
      <c r="D1080" s="788"/>
      <c r="E1080" s="789"/>
      <c r="F1080" s="786"/>
      <c r="G1080" s="786"/>
      <c r="H1080" s="786"/>
      <c r="I1080" s="786"/>
    </row>
    <row r="1081" spans="1:9" s="790" customFormat="1" ht="15" hidden="1" outlineLevel="2">
      <c r="A1081" s="779"/>
      <c r="B1081" s="1132"/>
      <c r="C1081" s="1133"/>
      <c r="D1081" s="788"/>
      <c r="E1081" s="789"/>
      <c r="F1081" s="786"/>
      <c r="G1081" s="786"/>
      <c r="H1081" s="786"/>
      <c r="I1081" s="786"/>
    </row>
    <row r="1082" spans="1:9" s="790" customFormat="1" ht="30" hidden="1" customHeight="1" outlineLevel="2">
      <c r="A1082" s="779"/>
      <c r="B1082" s="1132"/>
      <c r="C1082" s="1133"/>
      <c r="D1082" s="788"/>
      <c r="E1082" s="789"/>
      <c r="F1082" s="786"/>
      <c r="G1082" s="786"/>
      <c r="H1082" s="786"/>
      <c r="I1082" s="786"/>
    </row>
    <row r="1083" spans="1:9" s="790" customFormat="1" ht="28.5" hidden="1" customHeight="1" outlineLevel="2">
      <c r="A1083" s="779"/>
      <c r="B1083" s="1132"/>
      <c r="C1083" s="1133"/>
      <c r="D1083" s="788"/>
      <c r="E1083" s="789"/>
      <c r="F1083" s="786"/>
      <c r="G1083" s="786"/>
      <c r="H1083" s="786"/>
      <c r="I1083" s="786"/>
    </row>
    <row r="1084" spans="1:9" s="790" customFormat="1" ht="28.5" hidden="1" customHeight="1" outlineLevel="2">
      <c r="A1084" s="779"/>
      <c r="B1084" s="1132"/>
      <c r="C1084" s="1133"/>
      <c r="D1084" s="788"/>
      <c r="E1084" s="789"/>
      <c r="F1084" s="786"/>
      <c r="G1084" s="786"/>
      <c r="H1084" s="786"/>
      <c r="I1084" s="786"/>
    </row>
    <row r="1085" spans="1:9" s="790" customFormat="1" ht="15" hidden="1" outlineLevel="2">
      <c r="A1085" s="779"/>
      <c r="B1085" s="1132"/>
      <c r="C1085" s="1133"/>
      <c r="D1085" s="784"/>
      <c r="E1085" s="785"/>
      <c r="F1085" s="786"/>
      <c r="G1085" s="786"/>
      <c r="H1085" s="786"/>
      <c r="I1085" s="786"/>
    </row>
    <row r="1086" spans="1:9" s="770" customFormat="1" ht="15" hidden="1" outlineLevel="2">
      <c r="A1086" s="771"/>
      <c r="B1086" s="772" t="s">
        <v>778</v>
      </c>
      <c r="C1086" s="773" t="s">
        <v>618</v>
      </c>
      <c r="D1086" s="774">
        <v>2100200237</v>
      </c>
      <c r="E1086" s="775">
        <f>SUM(E1087:E1101)</f>
        <v>0</v>
      </c>
      <c r="F1086" s="776">
        <f>+[28]เรียงตามเขต!H87</f>
        <v>0</v>
      </c>
      <c r="G1086" s="776">
        <f>+[28]เรียงตามเขต!I87</f>
        <v>0</v>
      </c>
      <c r="H1086" s="776">
        <f>E1086-F1086-G1086</f>
        <v>0</v>
      </c>
      <c r="I1086" s="776">
        <v>0</v>
      </c>
    </row>
    <row r="1087" spans="1:9" s="783" customFormat="1" ht="47.25" hidden="1" customHeight="1" outlineLevel="2">
      <c r="A1087" s="779"/>
      <c r="B1087" s="1132"/>
      <c r="C1087" s="1133"/>
      <c r="D1087" s="780"/>
      <c r="E1087" s="781"/>
      <c r="F1087" s="782"/>
      <c r="G1087" s="782"/>
      <c r="H1087" s="782"/>
      <c r="I1087" s="782"/>
    </row>
    <row r="1088" spans="1:9" s="783" customFormat="1" ht="15" hidden="1" outlineLevel="2">
      <c r="A1088" s="779"/>
      <c r="B1088" s="1132"/>
      <c r="C1088" s="1133"/>
      <c r="D1088" s="780"/>
      <c r="E1088" s="781"/>
      <c r="F1088" s="782"/>
      <c r="G1088" s="782"/>
      <c r="H1088" s="782"/>
      <c r="I1088" s="782"/>
    </row>
    <row r="1089" spans="1:9" s="783" customFormat="1" ht="18" hidden="1" customHeight="1" outlineLevel="2">
      <c r="A1089" s="779"/>
      <c r="B1089" s="1132"/>
      <c r="C1089" s="1133"/>
      <c r="D1089" s="780"/>
      <c r="E1089" s="781"/>
      <c r="F1089" s="782"/>
      <c r="G1089" s="782"/>
      <c r="H1089" s="782"/>
      <c r="I1089" s="782"/>
    </row>
    <row r="1090" spans="1:9" s="783" customFormat="1" ht="18" hidden="1" customHeight="1" outlineLevel="2">
      <c r="A1090" s="779"/>
      <c r="B1090" s="1132"/>
      <c r="C1090" s="1133"/>
      <c r="D1090" s="780"/>
      <c r="E1090" s="781"/>
      <c r="F1090" s="782"/>
      <c r="G1090" s="782"/>
      <c r="H1090" s="782"/>
      <c r="I1090" s="782"/>
    </row>
    <row r="1091" spans="1:9" s="787" customFormat="1" ht="18.75" hidden="1" customHeight="1" outlineLevel="2">
      <c r="A1091" s="779"/>
      <c r="B1091" s="1132"/>
      <c r="C1091" s="1133"/>
      <c r="D1091" s="784"/>
      <c r="E1091" s="785"/>
      <c r="F1091" s="786"/>
      <c r="G1091" s="786"/>
      <c r="H1091" s="786"/>
      <c r="I1091" s="786"/>
    </row>
    <row r="1092" spans="1:9" s="787" customFormat="1" ht="48.75" hidden="1" customHeight="1" outlineLevel="2">
      <c r="A1092" s="779"/>
      <c r="B1092" s="1132"/>
      <c r="C1092" s="1133"/>
      <c r="D1092" s="784"/>
      <c r="E1092" s="785"/>
      <c r="F1092" s="786"/>
      <c r="G1092" s="786"/>
      <c r="H1092" s="786"/>
      <c r="I1092" s="786"/>
    </row>
    <row r="1093" spans="1:9" s="787" customFormat="1" ht="33" hidden="1" customHeight="1" outlineLevel="2">
      <c r="A1093" s="779"/>
      <c r="B1093" s="1132"/>
      <c r="C1093" s="1133"/>
      <c r="D1093" s="784"/>
      <c r="E1093" s="785"/>
      <c r="F1093" s="786"/>
      <c r="G1093" s="786"/>
      <c r="H1093" s="786"/>
      <c r="I1093" s="786"/>
    </row>
    <row r="1094" spans="1:9" s="787" customFormat="1" ht="15" hidden="1" outlineLevel="2">
      <c r="A1094" s="779"/>
      <c r="B1094" s="1132"/>
      <c r="C1094" s="1133"/>
      <c r="D1094" s="784"/>
      <c r="E1094" s="785"/>
      <c r="F1094" s="786"/>
      <c r="G1094" s="786"/>
      <c r="H1094" s="786"/>
      <c r="I1094" s="786"/>
    </row>
    <row r="1095" spans="1:9" s="787" customFormat="1" ht="16.5" hidden="1" customHeight="1" outlineLevel="2">
      <c r="A1095" s="779"/>
      <c r="B1095" s="1132"/>
      <c r="C1095" s="1133"/>
      <c r="D1095" s="784"/>
      <c r="E1095" s="785"/>
      <c r="F1095" s="786"/>
      <c r="G1095" s="786"/>
      <c r="H1095" s="786"/>
      <c r="I1095" s="786"/>
    </row>
    <row r="1096" spans="1:9" s="790" customFormat="1" ht="36" hidden="1" customHeight="1" outlineLevel="2">
      <c r="A1096" s="779"/>
      <c r="B1096" s="1132"/>
      <c r="C1096" s="1133"/>
      <c r="D1096" s="788"/>
      <c r="E1096" s="789"/>
      <c r="F1096" s="786"/>
      <c r="G1096" s="786"/>
      <c r="H1096" s="786"/>
      <c r="I1096" s="786"/>
    </row>
    <row r="1097" spans="1:9" s="790" customFormat="1" ht="15" hidden="1" outlineLevel="2">
      <c r="A1097" s="779"/>
      <c r="B1097" s="1132"/>
      <c r="C1097" s="1133"/>
      <c r="D1097" s="788"/>
      <c r="E1097" s="789"/>
      <c r="F1097" s="786"/>
      <c r="G1097" s="786"/>
      <c r="H1097" s="786"/>
      <c r="I1097" s="786"/>
    </row>
    <row r="1098" spans="1:9" s="790" customFormat="1" ht="30" hidden="1" customHeight="1" outlineLevel="2">
      <c r="A1098" s="779"/>
      <c r="B1098" s="1132"/>
      <c r="C1098" s="1133"/>
      <c r="D1098" s="788"/>
      <c r="E1098" s="789"/>
      <c r="F1098" s="786"/>
      <c r="G1098" s="786"/>
      <c r="H1098" s="786"/>
      <c r="I1098" s="786"/>
    </row>
    <row r="1099" spans="1:9" s="790" customFormat="1" ht="28.5" hidden="1" customHeight="1" outlineLevel="2">
      <c r="A1099" s="779"/>
      <c r="B1099" s="1132"/>
      <c r="C1099" s="1133"/>
      <c r="D1099" s="788"/>
      <c r="E1099" s="789"/>
      <c r="F1099" s="786"/>
      <c r="G1099" s="786"/>
      <c r="H1099" s="786"/>
      <c r="I1099" s="786"/>
    </row>
    <row r="1100" spans="1:9" s="790" customFormat="1" ht="28.5" hidden="1" customHeight="1" outlineLevel="2">
      <c r="A1100" s="779"/>
      <c r="B1100" s="1132"/>
      <c r="C1100" s="1133"/>
      <c r="D1100" s="788"/>
      <c r="E1100" s="789"/>
      <c r="F1100" s="786"/>
      <c r="G1100" s="786"/>
      <c r="H1100" s="786"/>
      <c r="I1100" s="786"/>
    </row>
    <row r="1101" spans="1:9" s="790" customFormat="1" ht="15" hidden="1" outlineLevel="2">
      <c r="A1101" s="791"/>
      <c r="B1101" s="1137"/>
      <c r="C1101" s="1138"/>
      <c r="D1101" s="799"/>
      <c r="E1101" s="800"/>
      <c r="F1101" s="793"/>
      <c r="G1101" s="793"/>
      <c r="H1101" s="793"/>
      <c r="I1101" s="793"/>
    </row>
    <row r="1102" spans="1:9" s="770" customFormat="1" outlineLevel="1" collapsed="1">
      <c r="A1102" s="763"/>
      <c r="B1102" s="764" t="s">
        <v>830</v>
      </c>
      <c r="C1102" s="765"/>
      <c r="D1102" s="766"/>
      <c r="E1102" s="767">
        <f>+E1103+E1119+E1135+E1151+E1169+E1185+E1201</f>
        <v>377370</v>
      </c>
      <c r="F1102" s="767">
        <f>+F1103+F1119+F1135+F1151+F1169+F1185+F1201</f>
        <v>0</v>
      </c>
      <c r="G1102" s="767">
        <f>+G1103+G1119+G1135+G1151+G1169+G1185+G1201</f>
        <v>34902.79</v>
      </c>
      <c r="H1102" s="767">
        <f>+H1103+H1119+H1135+H1151+H1169+H1185+H1201</f>
        <v>342467.20999999996</v>
      </c>
      <c r="I1102" s="768">
        <f>SUM(I1103:I1201)</f>
        <v>0</v>
      </c>
    </row>
    <row r="1103" spans="1:9" s="770" customFormat="1" ht="15" hidden="1" outlineLevel="2">
      <c r="A1103" s="771"/>
      <c r="B1103" s="772" t="s">
        <v>779</v>
      </c>
      <c r="C1103" s="773" t="s">
        <v>621</v>
      </c>
      <c r="D1103" s="774">
        <v>2100200239</v>
      </c>
      <c r="E1103" s="775">
        <f>SUM(E1104:E1118)</f>
        <v>0</v>
      </c>
      <c r="F1103" s="776">
        <f>+[28]เรียงตามเขต!H89</f>
        <v>0</v>
      </c>
      <c r="G1103" s="776">
        <f>+[28]เรียงตามเขต!I89</f>
        <v>0</v>
      </c>
      <c r="H1103" s="776">
        <f>E1103-F1103-G1103</f>
        <v>0</v>
      </c>
      <c r="I1103" s="776">
        <v>0</v>
      </c>
    </row>
    <row r="1104" spans="1:9" s="783" customFormat="1" ht="45" hidden="1" customHeight="1" outlineLevel="2">
      <c r="A1104" s="779"/>
      <c r="B1104" s="1132"/>
      <c r="C1104" s="1133"/>
      <c r="D1104" s="780"/>
      <c r="E1104" s="781"/>
      <c r="F1104" s="782"/>
      <c r="G1104" s="782"/>
      <c r="H1104" s="782"/>
      <c r="I1104" s="782"/>
    </row>
    <row r="1105" spans="1:9" s="783" customFormat="1" ht="15" hidden="1" outlineLevel="2">
      <c r="A1105" s="779"/>
      <c r="B1105" s="1132"/>
      <c r="C1105" s="1133"/>
      <c r="D1105" s="780"/>
      <c r="E1105" s="781"/>
      <c r="F1105" s="782"/>
      <c r="G1105" s="782"/>
      <c r="H1105" s="782"/>
      <c r="I1105" s="782"/>
    </row>
    <row r="1106" spans="1:9" s="783" customFormat="1" ht="18" hidden="1" customHeight="1" outlineLevel="2">
      <c r="A1106" s="779"/>
      <c r="B1106" s="1132"/>
      <c r="C1106" s="1133"/>
      <c r="D1106" s="780"/>
      <c r="E1106" s="781"/>
      <c r="F1106" s="782"/>
      <c r="G1106" s="782"/>
      <c r="H1106" s="782"/>
      <c r="I1106" s="782"/>
    </row>
    <row r="1107" spans="1:9" s="783" customFormat="1" ht="18" hidden="1" customHeight="1" outlineLevel="2">
      <c r="A1107" s="779"/>
      <c r="B1107" s="1132"/>
      <c r="C1107" s="1133"/>
      <c r="D1107" s="780"/>
      <c r="E1107" s="781"/>
      <c r="F1107" s="782"/>
      <c r="G1107" s="782"/>
      <c r="H1107" s="782"/>
      <c r="I1107" s="782"/>
    </row>
    <row r="1108" spans="1:9" s="787" customFormat="1" ht="18.75" hidden="1" customHeight="1" outlineLevel="2">
      <c r="A1108" s="779"/>
      <c r="B1108" s="1132"/>
      <c r="C1108" s="1133"/>
      <c r="D1108" s="784"/>
      <c r="E1108" s="785"/>
      <c r="F1108" s="786"/>
      <c r="G1108" s="786"/>
      <c r="H1108" s="786"/>
      <c r="I1108" s="786"/>
    </row>
    <row r="1109" spans="1:9" s="787" customFormat="1" ht="43.5" hidden="1" customHeight="1" outlineLevel="2">
      <c r="A1109" s="779"/>
      <c r="B1109" s="1132"/>
      <c r="C1109" s="1133"/>
      <c r="D1109" s="784"/>
      <c r="E1109" s="785"/>
      <c r="F1109" s="786"/>
      <c r="G1109" s="786"/>
      <c r="H1109" s="786"/>
      <c r="I1109" s="786"/>
    </row>
    <row r="1110" spans="1:9" s="787" customFormat="1" ht="33" hidden="1" customHeight="1" outlineLevel="2">
      <c r="A1110" s="779"/>
      <c r="B1110" s="1132"/>
      <c r="C1110" s="1133"/>
      <c r="D1110" s="784"/>
      <c r="E1110" s="785"/>
      <c r="F1110" s="786"/>
      <c r="G1110" s="786"/>
      <c r="H1110" s="786"/>
      <c r="I1110" s="786"/>
    </row>
    <row r="1111" spans="1:9" s="787" customFormat="1" ht="29.25" hidden="1" customHeight="1" outlineLevel="2">
      <c r="A1111" s="779"/>
      <c r="B1111" s="1132"/>
      <c r="C1111" s="1133"/>
      <c r="D1111" s="784"/>
      <c r="E1111" s="785"/>
      <c r="F1111" s="786"/>
      <c r="G1111" s="786"/>
      <c r="H1111" s="786"/>
      <c r="I1111" s="786"/>
    </row>
    <row r="1112" spans="1:9" s="787" customFormat="1" ht="16.5" hidden="1" customHeight="1" outlineLevel="2">
      <c r="A1112" s="779"/>
      <c r="B1112" s="1132"/>
      <c r="C1112" s="1133"/>
      <c r="D1112" s="784"/>
      <c r="E1112" s="785"/>
      <c r="F1112" s="786"/>
      <c r="G1112" s="786"/>
      <c r="H1112" s="786"/>
      <c r="I1112" s="786"/>
    </row>
    <row r="1113" spans="1:9" s="790" customFormat="1" ht="30" hidden="1" customHeight="1" outlineLevel="2">
      <c r="A1113" s="779"/>
      <c r="B1113" s="1132"/>
      <c r="C1113" s="1133"/>
      <c r="D1113" s="788"/>
      <c r="E1113" s="789"/>
      <c r="F1113" s="786"/>
      <c r="G1113" s="786"/>
      <c r="H1113" s="786"/>
      <c r="I1113" s="786"/>
    </row>
    <row r="1114" spans="1:9" s="790" customFormat="1" ht="15" hidden="1" outlineLevel="2">
      <c r="A1114" s="779"/>
      <c r="B1114" s="1132"/>
      <c r="C1114" s="1133"/>
      <c r="D1114" s="788"/>
      <c r="E1114" s="789"/>
      <c r="F1114" s="786"/>
      <c r="G1114" s="786"/>
      <c r="H1114" s="786"/>
      <c r="I1114" s="786"/>
    </row>
    <row r="1115" spans="1:9" s="790" customFormat="1" ht="30" hidden="1" customHeight="1" outlineLevel="2">
      <c r="A1115" s="779"/>
      <c r="B1115" s="1132"/>
      <c r="C1115" s="1133"/>
      <c r="D1115" s="788"/>
      <c r="E1115" s="789"/>
      <c r="F1115" s="786"/>
      <c r="G1115" s="786"/>
      <c r="H1115" s="786"/>
      <c r="I1115" s="786"/>
    </row>
    <row r="1116" spans="1:9" s="790" customFormat="1" ht="28.5" hidden="1" customHeight="1" outlineLevel="2">
      <c r="A1116" s="779"/>
      <c r="B1116" s="1132"/>
      <c r="C1116" s="1133"/>
      <c r="D1116" s="788"/>
      <c r="E1116" s="789"/>
      <c r="F1116" s="786"/>
      <c r="G1116" s="786"/>
      <c r="H1116" s="786"/>
      <c r="I1116" s="786"/>
    </row>
    <row r="1117" spans="1:9" s="790" customFormat="1" ht="28.5" hidden="1" customHeight="1" outlineLevel="2">
      <c r="A1117" s="779"/>
      <c r="B1117" s="1132"/>
      <c r="C1117" s="1133"/>
      <c r="D1117" s="788"/>
      <c r="E1117" s="789"/>
      <c r="F1117" s="786"/>
      <c r="G1117" s="786"/>
      <c r="H1117" s="786"/>
      <c r="I1117" s="786"/>
    </row>
    <row r="1118" spans="1:9" s="790" customFormat="1" ht="15" hidden="1" outlineLevel="2">
      <c r="A1118" s="791"/>
      <c r="B1118" s="1137"/>
      <c r="C1118" s="1138"/>
      <c r="D1118" s="799"/>
      <c r="E1118" s="800"/>
      <c r="F1118" s="793"/>
      <c r="G1118" s="793"/>
      <c r="H1118" s="793"/>
      <c r="I1118" s="793"/>
    </row>
    <row r="1119" spans="1:9" s="770" customFormat="1" ht="15" outlineLevel="2">
      <c r="A1119" s="771"/>
      <c r="B1119" s="772" t="s">
        <v>756</v>
      </c>
      <c r="C1119" s="773" t="s">
        <v>623</v>
      </c>
      <c r="D1119" s="774">
        <v>2100200242</v>
      </c>
      <c r="E1119" s="775">
        <f>SUM(E1120:E1134)</f>
        <v>112100</v>
      </c>
      <c r="F1119" s="776">
        <f>+[28]เรียงตามเขต!H90</f>
        <v>0</v>
      </c>
      <c r="G1119" s="776">
        <f>+[28]เรียงตามเขต!I90</f>
        <v>34902.79</v>
      </c>
      <c r="H1119" s="776">
        <f>E1119-F1119-G1119</f>
        <v>77197.209999999992</v>
      </c>
      <c r="I1119" s="776">
        <v>0</v>
      </c>
    </row>
    <row r="1120" spans="1:9" s="783" customFormat="1" ht="45.75" customHeight="1" outlineLevel="2">
      <c r="A1120" s="779"/>
      <c r="B1120" s="1132" t="s">
        <v>819</v>
      </c>
      <c r="C1120" s="1133"/>
      <c r="D1120" s="780"/>
      <c r="E1120" s="781">
        <f>+[28]เรียงตามเขต!G90</f>
        <v>112100</v>
      </c>
      <c r="F1120" s="782">
        <f>+[28]เรียงตามเขต!H90</f>
        <v>0</v>
      </c>
      <c r="G1120" s="782">
        <f>+[28]เรียงตามเขต!I90</f>
        <v>34902.79</v>
      </c>
      <c r="H1120" s="782"/>
      <c r="I1120" s="782"/>
    </row>
    <row r="1121" spans="1:9" s="783" customFormat="1" ht="15" hidden="1" outlineLevel="2">
      <c r="A1121" s="779"/>
      <c r="B1121" s="1132"/>
      <c r="C1121" s="1133"/>
      <c r="D1121" s="780"/>
      <c r="E1121" s="781"/>
      <c r="F1121" s="782"/>
      <c r="G1121" s="782"/>
      <c r="H1121" s="782"/>
      <c r="I1121" s="782"/>
    </row>
    <row r="1122" spans="1:9" s="783" customFormat="1" ht="15" hidden="1" outlineLevel="2">
      <c r="A1122" s="779"/>
      <c r="B1122" s="1132"/>
      <c r="C1122" s="1133"/>
      <c r="D1122" s="780"/>
      <c r="E1122" s="781"/>
      <c r="F1122" s="782"/>
      <c r="G1122" s="782"/>
      <c r="H1122" s="782"/>
      <c r="I1122" s="782"/>
    </row>
    <row r="1123" spans="1:9" s="783" customFormat="1" ht="15" hidden="1" outlineLevel="2">
      <c r="A1123" s="779"/>
      <c r="B1123" s="1132"/>
      <c r="C1123" s="1133"/>
      <c r="D1123" s="780"/>
      <c r="E1123" s="781"/>
      <c r="F1123" s="782"/>
      <c r="G1123" s="782"/>
      <c r="H1123" s="782"/>
      <c r="I1123" s="782"/>
    </row>
    <row r="1124" spans="1:9" s="787" customFormat="1" ht="15" hidden="1" outlineLevel="2">
      <c r="A1124" s="791"/>
      <c r="B1124" s="1137"/>
      <c r="C1124" s="1138"/>
      <c r="D1124" s="799"/>
      <c r="E1124" s="800"/>
      <c r="F1124" s="793"/>
      <c r="G1124" s="793"/>
      <c r="H1124" s="793"/>
      <c r="I1124" s="793"/>
    </row>
    <row r="1125" spans="1:9" s="787" customFormat="1" ht="32.25" hidden="1" customHeight="1" outlineLevel="2">
      <c r="A1125" s="779"/>
      <c r="B1125" s="1132"/>
      <c r="C1125" s="1133"/>
      <c r="D1125" s="784"/>
      <c r="E1125" s="785"/>
      <c r="F1125" s="786"/>
      <c r="G1125" s="786"/>
      <c r="H1125" s="786"/>
      <c r="I1125" s="786"/>
    </row>
    <row r="1126" spans="1:9" s="787" customFormat="1" ht="30" hidden="1" customHeight="1" outlineLevel="2">
      <c r="A1126" s="779"/>
      <c r="B1126" s="1132"/>
      <c r="C1126" s="1133"/>
      <c r="D1126" s="784"/>
      <c r="E1126" s="785"/>
      <c r="F1126" s="786"/>
      <c r="G1126" s="786"/>
      <c r="H1126" s="786"/>
      <c r="I1126" s="786"/>
    </row>
    <row r="1127" spans="1:9" s="787" customFormat="1" ht="33" hidden="1" customHeight="1" outlineLevel="2">
      <c r="A1127" s="779"/>
      <c r="B1127" s="1132"/>
      <c r="C1127" s="1133"/>
      <c r="D1127" s="784"/>
      <c r="E1127" s="785"/>
      <c r="F1127" s="786"/>
      <c r="G1127" s="786"/>
      <c r="H1127" s="786"/>
      <c r="I1127" s="786"/>
    </row>
    <row r="1128" spans="1:9" s="787" customFormat="1" ht="16.5" hidden="1" customHeight="1" outlineLevel="2">
      <c r="A1128" s="779"/>
      <c r="B1128" s="1132"/>
      <c r="C1128" s="1133"/>
      <c r="D1128" s="784"/>
      <c r="E1128" s="785"/>
      <c r="F1128" s="786"/>
      <c r="G1128" s="786"/>
      <c r="H1128" s="786"/>
      <c r="I1128" s="786"/>
    </row>
    <row r="1129" spans="1:9" s="790" customFormat="1" ht="30" hidden="1" customHeight="1" outlineLevel="2">
      <c r="A1129" s="779"/>
      <c r="B1129" s="1132"/>
      <c r="C1129" s="1133"/>
      <c r="D1129" s="788"/>
      <c r="E1129" s="789"/>
      <c r="F1129" s="786"/>
      <c r="G1129" s="786"/>
      <c r="H1129" s="786"/>
      <c r="I1129" s="786"/>
    </row>
    <row r="1130" spans="1:9" s="790" customFormat="1" ht="15" hidden="1" outlineLevel="2">
      <c r="A1130" s="779"/>
      <c r="B1130" s="1132"/>
      <c r="C1130" s="1133"/>
      <c r="D1130" s="788"/>
      <c r="E1130" s="789"/>
      <c r="F1130" s="786"/>
      <c r="G1130" s="786"/>
      <c r="H1130" s="786"/>
      <c r="I1130" s="786"/>
    </row>
    <row r="1131" spans="1:9" s="790" customFormat="1" ht="30" hidden="1" customHeight="1" outlineLevel="2">
      <c r="A1131" s="779"/>
      <c r="B1131" s="1132"/>
      <c r="C1131" s="1133"/>
      <c r="D1131" s="788"/>
      <c r="E1131" s="789"/>
      <c r="F1131" s="786"/>
      <c r="G1131" s="786"/>
      <c r="H1131" s="786"/>
      <c r="I1131" s="786"/>
    </row>
    <row r="1132" spans="1:9" s="790" customFormat="1" ht="28.5" hidden="1" customHeight="1" outlineLevel="2">
      <c r="A1132" s="779"/>
      <c r="B1132" s="1132"/>
      <c r="C1132" s="1133"/>
      <c r="D1132" s="788"/>
      <c r="E1132" s="789"/>
      <c r="F1132" s="786"/>
      <c r="G1132" s="786"/>
      <c r="H1132" s="786"/>
      <c r="I1132" s="786"/>
    </row>
    <row r="1133" spans="1:9" s="790" customFormat="1" ht="28.5" hidden="1" customHeight="1" outlineLevel="2">
      <c r="A1133" s="779"/>
      <c r="B1133" s="1132"/>
      <c r="C1133" s="1133"/>
      <c r="D1133" s="788"/>
      <c r="E1133" s="789"/>
      <c r="F1133" s="786"/>
      <c r="G1133" s="786"/>
      <c r="H1133" s="786"/>
      <c r="I1133" s="786"/>
    </row>
    <row r="1134" spans="1:9" s="790" customFormat="1" ht="15" hidden="1" outlineLevel="2">
      <c r="A1134" s="791"/>
      <c r="B1134" s="1139"/>
      <c r="C1134" s="1140"/>
      <c r="D1134" s="799"/>
      <c r="E1134" s="792"/>
      <c r="F1134" s="793"/>
      <c r="G1134" s="793"/>
      <c r="H1134" s="793"/>
      <c r="I1134" s="793"/>
    </row>
    <row r="1135" spans="1:9" s="770" customFormat="1" ht="15" outlineLevel="2">
      <c r="A1135" s="771"/>
      <c r="B1135" s="772" t="s">
        <v>757</v>
      </c>
      <c r="C1135" s="773" t="s">
        <v>625</v>
      </c>
      <c r="D1135" s="774">
        <v>2100200244</v>
      </c>
      <c r="E1135" s="775">
        <f>SUM(E1136:E1150)</f>
        <v>20000</v>
      </c>
      <c r="F1135" s="776">
        <f>+[28]เรียงตามเขต!H91</f>
        <v>0</v>
      </c>
      <c r="G1135" s="776">
        <f>+[28]เรียงตามเขต!I91</f>
        <v>0</v>
      </c>
      <c r="H1135" s="776">
        <f>E1135-F1135-G1135</f>
        <v>20000</v>
      </c>
      <c r="I1135" s="776">
        <v>0</v>
      </c>
    </row>
    <row r="1136" spans="1:9" s="783" customFormat="1" ht="50.25" customHeight="1" outlineLevel="2">
      <c r="A1136" s="779"/>
      <c r="B1136" s="1132" t="s">
        <v>819</v>
      </c>
      <c r="C1136" s="1133"/>
      <c r="D1136" s="780"/>
      <c r="E1136" s="781">
        <f>+[28]เรียงตามเขต!G91</f>
        <v>20000</v>
      </c>
      <c r="F1136" s="782">
        <f>+[28]เรียงตามเขต!H91</f>
        <v>0</v>
      </c>
      <c r="G1136" s="782">
        <f>+[28]เรียงตามเขต!I91</f>
        <v>0</v>
      </c>
      <c r="H1136" s="782"/>
      <c r="I1136" s="782"/>
    </row>
    <row r="1137" spans="1:9" s="783" customFormat="1" ht="30" hidden="1" customHeight="1" outlineLevel="2">
      <c r="A1137" s="779"/>
      <c r="B1137" s="1132"/>
      <c r="C1137" s="1133"/>
      <c r="D1137" s="780"/>
      <c r="E1137" s="781"/>
      <c r="F1137" s="782"/>
      <c r="G1137" s="782"/>
      <c r="H1137" s="782"/>
      <c r="I1137" s="782"/>
    </row>
    <row r="1138" spans="1:9" s="783" customFormat="1" ht="18" hidden="1" customHeight="1" outlineLevel="2">
      <c r="A1138" s="779"/>
      <c r="B1138" s="1132"/>
      <c r="C1138" s="1133"/>
      <c r="D1138" s="780"/>
      <c r="E1138" s="781"/>
      <c r="F1138" s="782"/>
      <c r="G1138" s="782"/>
      <c r="H1138" s="782"/>
      <c r="I1138" s="782"/>
    </row>
    <row r="1139" spans="1:9" s="783" customFormat="1" ht="18" hidden="1" customHeight="1" outlineLevel="2">
      <c r="A1139" s="779"/>
      <c r="B1139" s="1132"/>
      <c r="C1139" s="1133"/>
      <c r="D1139" s="780"/>
      <c r="E1139" s="781"/>
      <c r="F1139" s="782"/>
      <c r="G1139" s="782"/>
      <c r="H1139" s="782"/>
      <c r="I1139" s="782"/>
    </row>
    <row r="1140" spans="1:9" s="787" customFormat="1" ht="15.75" hidden="1" customHeight="1" outlineLevel="2">
      <c r="A1140" s="779"/>
      <c r="B1140" s="1132"/>
      <c r="C1140" s="1133"/>
      <c r="D1140" s="784"/>
      <c r="E1140" s="785"/>
      <c r="F1140" s="786"/>
      <c r="G1140" s="786"/>
      <c r="H1140" s="786"/>
      <c r="I1140" s="786"/>
    </row>
    <row r="1141" spans="1:9" s="787" customFormat="1" ht="48.75" hidden="1" customHeight="1" outlineLevel="2">
      <c r="A1141" s="779"/>
      <c r="B1141" s="1132"/>
      <c r="C1141" s="1133"/>
      <c r="D1141" s="784"/>
      <c r="E1141" s="785"/>
      <c r="F1141" s="786"/>
      <c r="G1141" s="786"/>
      <c r="H1141" s="786"/>
      <c r="I1141" s="786"/>
    </row>
    <row r="1142" spans="1:9" s="787" customFormat="1" ht="29.25" hidden="1" customHeight="1" outlineLevel="2">
      <c r="A1142" s="779"/>
      <c r="B1142" s="1132"/>
      <c r="C1142" s="1133"/>
      <c r="D1142" s="784"/>
      <c r="E1142" s="785"/>
      <c r="F1142" s="786"/>
      <c r="G1142" s="786"/>
      <c r="H1142" s="786"/>
      <c r="I1142" s="786"/>
    </row>
    <row r="1143" spans="1:9" s="787" customFormat="1" ht="29.25" hidden="1" customHeight="1" outlineLevel="2">
      <c r="A1143" s="779"/>
      <c r="B1143" s="1132"/>
      <c r="C1143" s="1133"/>
      <c r="D1143" s="784"/>
      <c r="E1143" s="785"/>
      <c r="F1143" s="786"/>
      <c r="G1143" s="786"/>
      <c r="H1143" s="786"/>
      <c r="I1143" s="786"/>
    </row>
    <row r="1144" spans="1:9" s="787" customFormat="1" ht="16.5" hidden="1" customHeight="1" outlineLevel="2">
      <c r="A1144" s="779"/>
      <c r="B1144" s="1132"/>
      <c r="C1144" s="1133"/>
      <c r="D1144" s="784"/>
      <c r="E1144" s="785"/>
      <c r="F1144" s="786"/>
      <c r="G1144" s="786"/>
      <c r="H1144" s="786"/>
      <c r="I1144" s="786"/>
    </row>
    <row r="1145" spans="1:9" s="790" customFormat="1" ht="36" hidden="1" customHeight="1" outlineLevel="2">
      <c r="A1145" s="779"/>
      <c r="B1145" s="1132"/>
      <c r="C1145" s="1133"/>
      <c r="D1145" s="788"/>
      <c r="E1145" s="789"/>
      <c r="F1145" s="786"/>
      <c r="G1145" s="786"/>
      <c r="H1145" s="786"/>
      <c r="I1145" s="786"/>
    </row>
    <row r="1146" spans="1:9" s="790" customFormat="1" ht="15" hidden="1" outlineLevel="2">
      <c r="A1146" s="779"/>
      <c r="B1146" s="1132"/>
      <c r="C1146" s="1133"/>
      <c r="D1146" s="788"/>
      <c r="E1146" s="789"/>
      <c r="F1146" s="786"/>
      <c r="G1146" s="786"/>
      <c r="H1146" s="786"/>
      <c r="I1146" s="786"/>
    </row>
    <row r="1147" spans="1:9" s="790" customFormat="1" ht="30" hidden="1" customHeight="1" outlineLevel="2">
      <c r="A1147" s="791"/>
      <c r="B1147" s="1137"/>
      <c r="C1147" s="1138"/>
      <c r="D1147" s="792"/>
      <c r="E1147" s="835"/>
      <c r="F1147" s="793"/>
      <c r="G1147" s="793"/>
      <c r="H1147" s="793"/>
      <c r="I1147" s="793"/>
    </row>
    <row r="1148" spans="1:9" s="790" customFormat="1" ht="28.5" hidden="1" customHeight="1" outlineLevel="2">
      <c r="A1148" s="779"/>
      <c r="B1148" s="1132" t="s">
        <v>822</v>
      </c>
      <c r="C1148" s="1133"/>
      <c r="D1148" s="788"/>
      <c r="E1148" s="789">
        <v>0</v>
      </c>
      <c r="F1148" s="786"/>
      <c r="G1148" s="786"/>
      <c r="H1148" s="786"/>
      <c r="I1148" s="786"/>
    </row>
    <row r="1149" spans="1:9" s="790" customFormat="1" ht="28.5" hidden="1" customHeight="1" outlineLevel="2">
      <c r="A1149" s="779"/>
      <c r="B1149" s="1132" t="s">
        <v>823</v>
      </c>
      <c r="C1149" s="1133"/>
      <c r="D1149" s="788"/>
      <c r="E1149" s="789">
        <v>0</v>
      </c>
      <c r="F1149" s="786"/>
      <c r="G1149" s="786"/>
      <c r="H1149" s="786"/>
      <c r="I1149" s="786"/>
    </row>
    <row r="1150" spans="1:9" s="790" customFormat="1" ht="11.25" hidden="1" customHeight="1" outlineLevel="2">
      <c r="A1150" s="791"/>
      <c r="B1150" s="1137"/>
      <c r="C1150" s="1138"/>
      <c r="D1150" s="799"/>
      <c r="E1150" s="800"/>
      <c r="F1150" s="793"/>
      <c r="G1150" s="793"/>
      <c r="H1150" s="793"/>
      <c r="I1150" s="793"/>
    </row>
    <row r="1151" spans="1:9" s="770" customFormat="1" ht="15" hidden="1" outlineLevel="2">
      <c r="A1151" s="771"/>
      <c r="B1151" s="772" t="s">
        <v>782</v>
      </c>
      <c r="C1151" s="773" t="s">
        <v>627</v>
      </c>
      <c r="D1151" s="774">
        <v>2100200246</v>
      </c>
      <c r="E1151" s="775">
        <f>SUM(E1152:E1168)</f>
        <v>0</v>
      </c>
      <c r="F1151" s="776">
        <f>+[28]เรียงตามเขต!H92</f>
        <v>0</v>
      </c>
      <c r="G1151" s="776">
        <f>+[28]เรียงตามเขต!I92</f>
        <v>0</v>
      </c>
      <c r="H1151" s="776">
        <f>E1151-F1151-G1151</f>
        <v>0</v>
      </c>
      <c r="I1151" s="776">
        <v>0</v>
      </c>
    </row>
    <row r="1152" spans="1:9" s="783" customFormat="1" ht="47.25" hidden="1" customHeight="1" outlineLevel="2">
      <c r="A1152" s="779"/>
      <c r="B1152" s="1132"/>
      <c r="C1152" s="1133"/>
      <c r="D1152" s="780"/>
      <c r="E1152" s="781"/>
      <c r="F1152" s="782"/>
      <c r="G1152" s="782"/>
      <c r="H1152" s="782"/>
      <c r="I1152" s="782"/>
    </row>
    <row r="1153" spans="1:9" s="783" customFormat="1" ht="15" hidden="1" outlineLevel="2">
      <c r="A1153" s="779"/>
      <c r="B1153" s="1132"/>
      <c r="C1153" s="1133"/>
      <c r="D1153" s="780"/>
      <c r="E1153" s="781"/>
      <c r="F1153" s="782"/>
      <c r="G1153" s="782"/>
      <c r="H1153" s="782"/>
      <c r="I1153" s="782"/>
    </row>
    <row r="1154" spans="1:9" s="783" customFormat="1" ht="18" hidden="1" customHeight="1" outlineLevel="2">
      <c r="A1154" s="779"/>
      <c r="B1154" s="1132"/>
      <c r="C1154" s="1133"/>
      <c r="D1154" s="780"/>
      <c r="E1154" s="781"/>
      <c r="F1154" s="782"/>
      <c r="G1154" s="782"/>
      <c r="H1154" s="782"/>
      <c r="I1154" s="782"/>
    </row>
    <row r="1155" spans="1:9" s="783" customFormat="1" ht="18" hidden="1" customHeight="1" outlineLevel="2">
      <c r="A1155" s="779"/>
      <c r="B1155" s="1132"/>
      <c r="C1155" s="1133"/>
      <c r="D1155" s="780"/>
      <c r="E1155" s="781"/>
      <c r="F1155" s="782"/>
      <c r="G1155" s="782"/>
      <c r="H1155" s="782"/>
      <c r="I1155" s="782"/>
    </row>
    <row r="1156" spans="1:9" s="787" customFormat="1" ht="18.75" hidden="1" customHeight="1" outlineLevel="2">
      <c r="A1156" s="779"/>
      <c r="B1156" s="1132"/>
      <c r="C1156" s="1133"/>
      <c r="D1156" s="784"/>
      <c r="E1156" s="785"/>
      <c r="F1156" s="786"/>
      <c r="G1156" s="786"/>
      <c r="H1156" s="786"/>
      <c r="I1156" s="786"/>
    </row>
    <row r="1157" spans="1:9" s="787" customFormat="1" ht="48.75" hidden="1" customHeight="1" outlineLevel="2">
      <c r="A1157" s="779"/>
      <c r="B1157" s="1132"/>
      <c r="C1157" s="1133"/>
      <c r="D1157" s="784"/>
      <c r="E1157" s="785"/>
      <c r="F1157" s="786"/>
      <c r="G1157" s="786"/>
      <c r="H1157" s="786"/>
      <c r="I1157" s="786"/>
    </row>
    <row r="1158" spans="1:9" s="787" customFormat="1" ht="33" hidden="1" customHeight="1" outlineLevel="2">
      <c r="A1158" s="779"/>
      <c r="B1158" s="1132"/>
      <c r="C1158" s="1133"/>
      <c r="D1158" s="784"/>
      <c r="E1158" s="785"/>
      <c r="F1158" s="786"/>
      <c r="G1158" s="786"/>
      <c r="H1158" s="786"/>
      <c r="I1158" s="786"/>
    </row>
    <row r="1159" spans="1:9" s="787" customFormat="1" ht="33" hidden="1" customHeight="1" outlineLevel="2">
      <c r="A1159" s="779"/>
      <c r="B1159" s="1132"/>
      <c r="C1159" s="1133"/>
      <c r="D1159" s="784"/>
      <c r="E1159" s="785"/>
      <c r="F1159" s="786"/>
      <c r="G1159" s="786"/>
      <c r="H1159" s="786"/>
      <c r="I1159" s="786"/>
    </row>
    <row r="1160" spans="1:9" s="787" customFormat="1" ht="30.75" hidden="1" customHeight="1" outlineLevel="2">
      <c r="A1160" s="779"/>
      <c r="B1160" s="1132"/>
      <c r="C1160" s="1133"/>
      <c r="D1160" s="784"/>
      <c r="E1160" s="785"/>
      <c r="F1160" s="786"/>
      <c r="G1160" s="786"/>
      <c r="H1160" s="786"/>
      <c r="I1160" s="786"/>
    </row>
    <row r="1161" spans="1:9" s="787" customFormat="1" ht="16.5" hidden="1" customHeight="1" outlineLevel="2">
      <c r="A1161" s="779"/>
      <c r="B1161" s="1132"/>
      <c r="C1161" s="1133"/>
      <c r="D1161" s="784"/>
      <c r="E1161" s="785"/>
      <c r="F1161" s="786"/>
      <c r="G1161" s="786"/>
      <c r="H1161" s="786"/>
      <c r="I1161" s="786"/>
    </row>
    <row r="1162" spans="1:9" s="790" customFormat="1" ht="36" hidden="1" customHeight="1" outlineLevel="2">
      <c r="A1162" s="779"/>
      <c r="B1162" s="1132"/>
      <c r="C1162" s="1133"/>
      <c r="D1162" s="788"/>
      <c r="E1162" s="789"/>
      <c r="F1162" s="786"/>
      <c r="G1162" s="786"/>
      <c r="H1162" s="786"/>
      <c r="I1162" s="786"/>
    </row>
    <row r="1163" spans="1:9" s="790" customFormat="1" ht="15" hidden="1" outlineLevel="2">
      <c r="A1163" s="779"/>
      <c r="B1163" s="1132"/>
      <c r="C1163" s="1133"/>
      <c r="D1163" s="788"/>
      <c r="E1163" s="789"/>
      <c r="F1163" s="786"/>
      <c r="G1163" s="786"/>
      <c r="H1163" s="786"/>
      <c r="I1163" s="786"/>
    </row>
    <row r="1164" spans="1:9" s="790" customFormat="1" ht="30" hidden="1" customHeight="1" outlineLevel="2">
      <c r="A1164" s="779"/>
      <c r="B1164" s="1132"/>
      <c r="C1164" s="1133"/>
      <c r="D1164" s="788"/>
      <c r="E1164" s="789"/>
      <c r="F1164" s="786"/>
      <c r="G1164" s="786"/>
      <c r="H1164" s="786"/>
      <c r="I1164" s="786"/>
    </row>
    <row r="1165" spans="1:9" s="790" customFormat="1" ht="28.5" hidden="1" customHeight="1" outlineLevel="2">
      <c r="A1165" s="779"/>
      <c r="B1165" s="1132"/>
      <c r="C1165" s="1133"/>
      <c r="D1165" s="788"/>
      <c r="E1165" s="789"/>
      <c r="F1165" s="786"/>
      <c r="G1165" s="786"/>
      <c r="H1165" s="786"/>
      <c r="I1165" s="786"/>
    </row>
    <row r="1166" spans="1:9" s="790" customFormat="1" ht="28.5" hidden="1" customHeight="1" outlineLevel="2">
      <c r="A1166" s="791"/>
      <c r="B1166" s="1137"/>
      <c r="C1166" s="1138"/>
      <c r="D1166" s="792"/>
      <c r="E1166" s="835"/>
      <c r="F1166" s="793"/>
      <c r="G1166" s="793"/>
      <c r="H1166" s="793"/>
      <c r="I1166" s="793"/>
    </row>
    <row r="1167" spans="1:9" s="790" customFormat="1" ht="15" hidden="1" outlineLevel="2">
      <c r="A1167" s="779"/>
      <c r="B1167" s="1132"/>
      <c r="C1167" s="1133"/>
      <c r="D1167" s="784"/>
      <c r="E1167" s="785"/>
      <c r="F1167" s="786"/>
      <c r="G1167" s="786"/>
      <c r="H1167" s="786"/>
      <c r="I1167" s="786"/>
    </row>
    <row r="1168" spans="1:9" s="790" customFormat="1" ht="11.25" hidden="1" customHeight="1" outlineLevel="2">
      <c r="A1168" s="791"/>
      <c r="B1168" s="1137"/>
      <c r="C1168" s="1138"/>
      <c r="D1168" s="799"/>
      <c r="E1168" s="800"/>
      <c r="F1168" s="793"/>
      <c r="G1168" s="793"/>
      <c r="H1168" s="793"/>
      <c r="I1168" s="793"/>
    </row>
    <row r="1169" spans="1:9" s="770" customFormat="1" ht="15" hidden="1" outlineLevel="2">
      <c r="A1169" s="771"/>
      <c r="B1169" s="772" t="s">
        <v>783</v>
      </c>
      <c r="C1169" s="773" t="s">
        <v>629</v>
      </c>
      <c r="D1169" s="774">
        <v>2100200248</v>
      </c>
      <c r="E1169" s="775">
        <f>SUM(E1170:E1184)</f>
        <v>0</v>
      </c>
      <c r="F1169" s="776">
        <f>+[28]เรียงตามเขต!H93</f>
        <v>0</v>
      </c>
      <c r="G1169" s="776">
        <f>+[28]เรียงตามเขต!I93</f>
        <v>0</v>
      </c>
      <c r="H1169" s="776">
        <f>E1169-F1169-G1169</f>
        <v>0</v>
      </c>
      <c r="I1169" s="776">
        <v>0</v>
      </c>
    </row>
    <row r="1170" spans="1:9" s="783" customFormat="1" ht="47.25" hidden="1" customHeight="1" outlineLevel="2">
      <c r="A1170" s="779"/>
      <c r="B1170" s="1132"/>
      <c r="C1170" s="1133"/>
      <c r="D1170" s="780"/>
      <c r="E1170" s="781"/>
      <c r="F1170" s="782"/>
      <c r="G1170" s="782"/>
      <c r="H1170" s="782"/>
      <c r="I1170" s="782"/>
    </row>
    <row r="1171" spans="1:9" s="783" customFormat="1" ht="15" hidden="1" outlineLevel="2">
      <c r="A1171" s="779"/>
      <c r="B1171" s="1132"/>
      <c r="C1171" s="1133"/>
      <c r="D1171" s="780"/>
      <c r="E1171" s="781"/>
      <c r="F1171" s="782"/>
      <c r="G1171" s="782"/>
      <c r="H1171" s="782"/>
      <c r="I1171" s="782"/>
    </row>
    <row r="1172" spans="1:9" s="783" customFormat="1" ht="18" hidden="1" customHeight="1" outlineLevel="2">
      <c r="A1172" s="779"/>
      <c r="B1172" s="1132"/>
      <c r="C1172" s="1133"/>
      <c r="D1172" s="780"/>
      <c r="E1172" s="781"/>
      <c r="F1172" s="782"/>
      <c r="G1172" s="782"/>
      <c r="H1172" s="782"/>
      <c r="I1172" s="782"/>
    </row>
    <row r="1173" spans="1:9" s="783" customFormat="1" ht="18" hidden="1" customHeight="1" outlineLevel="2">
      <c r="A1173" s="779"/>
      <c r="B1173" s="1132"/>
      <c r="C1173" s="1133"/>
      <c r="D1173" s="780"/>
      <c r="E1173" s="781"/>
      <c r="F1173" s="782"/>
      <c r="G1173" s="782"/>
      <c r="H1173" s="782"/>
      <c r="I1173" s="782"/>
    </row>
    <row r="1174" spans="1:9" s="787" customFormat="1" ht="14.25" hidden="1" customHeight="1" outlineLevel="2">
      <c r="A1174" s="779"/>
      <c r="B1174" s="1132"/>
      <c r="C1174" s="1133"/>
      <c r="D1174" s="784"/>
      <c r="E1174" s="785"/>
      <c r="F1174" s="786"/>
      <c r="G1174" s="786"/>
      <c r="H1174" s="786"/>
      <c r="I1174" s="786"/>
    </row>
    <row r="1175" spans="1:9" s="787" customFormat="1" ht="48.75" hidden="1" customHeight="1" outlineLevel="2">
      <c r="A1175" s="779"/>
      <c r="B1175" s="1132"/>
      <c r="C1175" s="1133"/>
      <c r="D1175" s="784"/>
      <c r="E1175" s="785"/>
      <c r="F1175" s="786"/>
      <c r="G1175" s="786"/>
      <c r="H1175" s="786"/>
      <c r="I1175" s="786"/>
    </row>
    <row r="1176" spans="1:9" s="787" customFormat="1" ht="33" hidden="1" customHeight="1" outlineLevel="2">
      <c r="A1176" s="779"/>
      <c r="B1176" s="1132"/>
      <c r="C1176" s="1133"/>
      <c r="D1176" s="784"/>
      <c r="E1176" s="785"/>
      <c r="F1176" s="786"/>
      <c r="G1176" s="786"/>
      <c r="H1176" s="786"/>
      <c r="I1176" s="786"/>
    </row>
    <row r="1177" spans="1:9" s="787" customFormat="1" ht="30.75" hidden="1" customHeight="1" outlineLevel="2">
      <c r="A1177" s="779"/>
      <c r="B1177" s="1132"/>
      <c r="C1177" s="1133"/>
      <c r="D1177" s="784"/>
      <c r="E1177" s="785"/>
      <c r="F1177" s="786"/>
      <c r="G1177" s="786"/>
      <c r="H1177" s="786"/>
      <c r="I1177" s="786"/>
    </row>
    <row r="1178" spans="1:9" s="787" customFormat="1" ht="16.5" hidden="1" customHeight="1" outlineLevel="2">
      <c r="A1178" s="779"/>
      <c r="B1178" s="1132"/>
      <c r="C1178" s="1133"/>
      <c r="D1178" s="784"/>
      <c r="E1178" s="785"/>
      <c r="F1178" s="786"/>
      <c r="G1178" s="786"/>
      <c r="H1178" s="786"/>
      <c r="I1178" s="786"/>
    </row>
    <row r="1179" spans="1:9" s="790" customFormat="1" ht="36" hidden="1" customHeight="1" outlineLevel="2">
      <c r="A1179" s="779"/>
      <c r="B1179" s="1132"/>
      <c r="C1179" s="1133"/>
      <c r="D1179" s="788"/>
      <c r="E1179" s="789"/>
      <c r="F1179" s="786"/>
      <c r="G1179" s="786"/>
      <c r="H1179" s="786"/>
      <c r="I1179" s="786"/>
    </row>
    <row r="1180" spans="1:9" s="790" customFormat="1" ht="15" hidden="1" outlineLevel="2">
      <c r="A1180" s="779"/>
      <c r="B1180" s="1132"/>
      <c r="C1180" s="1133"/>
      <c r="D1180" s="788"/>
      <c r="E1180" s="789"/>
      <c r="F1180" s="786"/>
      <c r="G1180" s="786"/>
      <c r="H1180" s="786"/>
      <c r="I1180" s="786"/>
    </row>
    <row r="1181" spans="1:9" s="790" customFormat="1" ht="30" hidden="1" customHeight="1" outlineLevel="2">
      <c r="A1181" s="779"/>
      <c r="B1181" s="1132"/>
      <c r="C1181" s="1133"/>
      <c r="D1181" s="788"/>
      <c r="E1181" s="789"/>
      <c r="F1181" s="786"/>
      <c r="G1181" s="786"/>
      <c r="H1181" s="786"/>
      <c r="I1181" s="786"/>
    </row>
    <row r="1182" spans="1:9" s="790" customFormat="1" ht="28.5" hidden="1" customHeight="1" outlineLevel="2">
      <c r="A1182" s="779"/>
      <c r="B1182" s="1132"/>
      <c r="C1182" s="1133"/>
      <c r="D1182" s="788"/>
      <c r="E1182" s="789"/>
      <c r="F1182" s="786"/>
      <c r="G1182" s="786"/>
      <c r="H1182" s="786"/>
      <c r="I1182" s="786"/>
    </row>
    <row r="1183" spans="1:9" s="790" customFormat="1" ht="28.5" hidden="1" customHeight="1" outlineLevel="2">
      <c r="A1183" s="779"/>
      <c r="B1183" s="1132"/>
      <c r="C1183" s="1133"/>
      <c r="D1183" s="788"/>
      <c r="E1183" s="789"/>
      <c r="F1183" s="786"/>
      <c r="G1183" s="786"/>
      <c r="H1183" s="786"/>
      <c r="I1183" s="786"/>
    </row>
    <row r="1184" spans="1:9" s="804" customFormat="1" ht="15" hidden="1" outlineLevel="2">
      <c r="A1184" s="801"/>
      <c r="B1184" s="1139"/>
      <c r="C1184" s="1140"/>
      <c r="D1184" s="802"/>
      <c r="E1184" s="792"/>
      <c r="F1184" s="803"/>
      <c r="G1184" s="803"/>
      <c r="H1184" s="803"/>
      <c r="I1184" s="803"/>
    </row>
    <row r="1185" spans="1:9" s="816" customFormat="1" ht="15" outlineLevel="2">
      <c r="A1185" s="771"/>
      <c r="B1185" s="772" t="s">
        <v>758</v>
      </c>
      <c r="C1185" s="773" t="s">
        <v>631</v>
      </c>
      <c r="D1185" s="774">
        <v>2100200250</v>
      </c>
      <c r="E1185" s="775">
        <f>SUM(E1186:E1200)</f>
        <v>82990</v>
      </c>
      <c r="F1185" s="776">
        <f>+[28]เรียงตามเขต!H94</f>
        <v>0</v>
      </c>
      <c r="G1185" s="776">
        <f>+[28]เรียงตามเขต!I94</f>
        <v>0</v>
      </c>
      <c r="H1185" s="776">
        <f>E1185-F1185-G1185</f>
        <v>82990</v>
      </c>
      <c r="I1185" s="776">
        <v>0</v>
      </c>
    </row>
    <row r="1186" spans="1:9" s="783" customFormat="1" ht="47.25" customHeight="1" outlineLevel="2">
      <c r="A1186" s="779"/>
      <c r="B1186" s="1132" t="s">
        <v>819</v>
      </c>
      <c r="C1186" s="1133"/>
      <c r="D1186" s="780"/>
      <c r="E1186" s="781">
        <f>+[28]เรียงตามเขต!G94</f>
        <v>82990</v>
      </c>
      <c r="F1186" s="782">
        <f>+[28]เรียงตามเขต!H94</f>
        <v>0</v>
      </c>
      <c r="G1186" s="782">
        <f>+[28]เรียงตามเขต!I94</f>
        <v>0</v>
      </c>
      <c r="H1186" s="782"/>
      <c r="I1186" s="782"/>
    </row>
    <row r="1187" spans="1:9" s="783" customFormat="1" ht="15" hidden="1" outlineLevel="2">
      <c r="A1187" s="779"/>
      <c r="B1187" s="1132"/>
      <c r="C1187" s="1133"/>
      <c r="D1187" s="780"/>
      <c r="E1187" s="781"/>
      <c r="F1187" s="782"/>
      <c r="G1187" s="782"/>
      <c r="H1187" s="782"/>
      <c r="I1187" s="782"/>
    </row>
    <row r="1188" spans="1:9" s="783" customFormat="1" ht="18" hidden="1" customHeight="1" outlineLevel="2">
      <c r="A1188" s="779"/>
      <c r="B1188" s="1132"/>
      <c r="C1188" s="1133"/>
      <c r="D1188" s="780"/>
      <c r="E1188" s="781"/>
      <c r="F1188" s="782"/>
      <c r="G1188" s="782"/>
      <c r="H1188" s="782"/>
      <c r="I1188" s="782"/>
    </row>
    <row r="1189" spans="1:9" s="783" customFormat="1" ht="18" hidden="1" customHeight="1" outlineLevel="2">
      <c r="A1189" s="779"/>
      <c r="B1189" s="1132"/>
      <c r="C1189" s="1133"/>
      <c r="D1189" s="780"/>
      <c r="E1189" s="781"/>
      <c r="F1189" s="782"/>
      <c r="G1189" s="782"/>
      <c r="H1189" s="782"/>
      <c r="I1189" s="782"/>
    </row>
    <row r="1190" spans="1:9" s="787" customFormat="1" ht="18.75" hidden="1" customHeight="1" outlineLevel="2">
      <c r="A1190" s="779"/>
      <c r="B1190" s="1132"/>
      <c r="C1190" s="1133"/>
      <c r="D1190" s="784"/>
      <c r="E1190" s="785"/>
      <c r="F1190" s="786"/>
      <c r="G1190" s="786"/>
      <c r="H1190" s="786"/>
      <c r="I1190" s="786"/>
    </row>
    <row r="1191" spans="1:9" s="787" customFormat="1" ht="48.75" hidden="1" customHeight="1" outlineLevel="2">
      <c r="A1191" s="779"/>
      <c r="B1191" s="1132"/>
      <c r="C1191" s="1133"/>
      <c r="D1191" s="784"/>
      <c r="E1191" s="785"/>
      <c r="F1191" s="786"/>
      <c r="G1191" s="786"/>
      <c r="H1191" s="786"/>
      <c r="I1191" s="786"/>
    </row>
    <row r="1192" spans="1:9" s="787" customFormat="1" ht="33" hidden="1" customHeight="1" outlineLevel="2">
      <c r="A1192" s="779"/>
      <c r="B1192" s="1132"/>
      <c r="C1192" s="1133"/>
      <c r="D1192" s="784"/>
      <c r="E1192" s="785"/>
      <c r="F1192" s="786"/>
      <c r="G1192" s="786"/>
      <c r="H1192" s="786"/>
      <c r="I1192" s="786"/>
    </row>
    <row r="1193" spans="1:9" s="787" customFormat="1" ht="33" hidden="1" customHeight="1" outlineLevel="2">
      <c r="A1193" s="779"/>
      <c r="B1193" s="1132"/>
      <c r="C1193" s="1133"/>
      <c r="D1193" s="784"/>
      <c r="E1193" s="785"/>
      <c r="F1193" s="786"/>
      <c r="G1193" s="786"/>
      <c r="H1193" s="786"/>
      <c r="I1193" s="786"/>
    </row>
    <row r="1194" spans="1:9" s="787" customFormat="1" ht="16.5" hidden="1" customHeight="1" outlineLevel="2">
      <c r="A1194" s="779"/>
      <c r="B1194" s="1132"/>
      <c r="C1194" s="1133"/>
      <c r="D1194" s="784"/>
      <c r="E1194" s="785"/>
      <c r="F1194" s="786"/>
      <c r="G1194" s="786"/>
      <c r="H1194" s="786"/>
      <c r="I1194" s="786"/>
    </row>
    <row r="1195" spans="1:9" s="790" customFormat="1" ht="36" hidden="1" customHeight="1" outlineLevel="2">
      <c r="A1195" s="779"/>
      <c r="B1195" s="1132"/>
      <c r="C1195" s="1133"/>
      <c r="D1195" s="788"/>
      <c r="E1195" s="789"/>
      <c r="F1195" s="786"/>
      <c r="G1195" s="786"/>
      <c r="H1195" s="786"/>
      <c r="I1195" s="786"/>
    </row>
    <row r="1196" spans="1:9" s="790" customFormat="1" ht="15" hidden="1" outlineLevel="2">
      <c r="A1196" s="779"/>
      <c r="B1196" s="1132"/>
      <c r="C1196" s="1133"/>
      <c r="D1196" s="788"/>
      <c r="E1196" s="789"/>
      <c r="F1196" s="786"/>
      <c r="G1196" s="786"/>
      <c r="H1196" s="786"/>
      <c r="I1196" s="786"/>
    </row>
    <row r="1197" spans="1:9" s="790" customFormat="1" ht="30" hidden="1" customHeight="1" outlineLevel="2">
      <c r="A1197" s="779"/>
      <c r="B1197" s="1132"/>
      <c r="C1197" s="1133"/>
      <c r="D1197" s="788"/>
      <c r="E1197" s="789"/>
      <c r="F1197" s="786"/>
      <c r="G1197" s="786"/>
      <c r="H1197" s="786"/>
      <c r="I1197" s="786"/>
    </row>
    <row r="1198" spans="1:9" s="790" customFormat="1" ht="28.5" hidden="1" customHeight="1" outlineLevel="2">
      <c r="A1198" s="779"/>
      <c r="B1198" s="1132"/>
      <c r="C1198" s="1133"/>
      <c r="D1198" s="788"/>
      <c r="E1198" s="789"/>
      <c r="F1198" s="786"/>
      <c r="G1198" s="786"/>
      <c r="H1198" s="786"/>
      <c r="I1198" s="786"/>
    </row>
    <row r="1199" spans="1:9" s="790" customFormat="1" ht="28.5" hidden="1" customHeight="1" outlineLevel="2">
      <c r="A1199" s="779"/>
      <c r="B1199" s="1132"/>
      <c r="C1199" s="1133"/>
      <c r="D1199" s="788"/>
      <c r="E1199" s="789"/>
      <c r="F1199" s="786"/>
      <c r="G1199" s="786"/>
      <c r="H1199" s="786"/>
      <c r="I1199" s="786"/>
    </row>
    <row r="1200" spans="1:9" s="804" customFormat="1" ht="15" hidden="1" outlineLevel="2">
      <c r="A1200" s="822"/>
      <c r="B1200" s="1141"/>
      <c r="C1200" s="1142"/>
      <c r="D1200" s="836"/>
      <c r="E1200" s="788"/>
      <c r="F1200" s="823"/>
      <c r="G1200" s="823"/>
      <c r="H1200" s="823"/>
      <c r="I1200" s="823"/>
    </row>
    <row r="1201" spans="1:9" s="816" customFormat="1" ht="15" outlineLevel="2">
      <c r="A1201" s="771"/>
      <c r="B1201" s="772" t="s">
        <v>759</v>
      </c>
      <c r="C1201" s="773" t="s">
        <v>633</v>
      </c>
      <c r="D1201" s="774">
        <v>2100200253</v>
      </c>
      <c r="E1201" s="775">
        <f>SUM(E1202:E1216)</f>
        <v>162280</v>
      </c>
      <c r="F1201" s="776">
        <f>+[28]เรียงตามเขต!H95</f>
        <v>0</v>
      </c>
      <c r="G1201" s="776">
        <f>+[28]เรียงตามเขต!I95</f>
        <v>0</v>
      </c>
      <c r="H1201" s="776">
        <f>E1201-F1201-G1201</f>
        <v>162280</v>
      </c>
      <c r="I1201" s="776">
        <v>0</v>
      </c>
    </row>
    <row r="1202" spans="1:9" s="783" customFormat="1" ht="47.25" customHeight="1" outlineLevel="2">
      <c r="A1202" s="779"/>
      <c r="B1202" s="1132" t="s">
        <v>819</v>
      </c>
      <c r="C1202" s="1133"/>
      <c r="D1202" s="780"/>
      <c r="E1202" s="781">
        <f>+[28]เรียงตามเขต!G95</f>
        <v>162280</v>
      </c>
      <c r="F1202" s="782">
        <f>+[28]เรียงตามเขต!H95</f>
        <v>0</v>
      </c>
      <c r="G1202" s="782">
        <f>+[28]เรียงตามเขต!I95</f>
        <v>0</v>
      </c>
      <c r="H1202" s="782"/>
      <c r="I1202" s="782"/>
    </row>
    <row r="1203" spans="1:9" s="783" customFormat="1" ht="15" hidden="1" outlineLevel="2">
      <c r="A1203" s="779"/>
      <c r="B1203" s="1132"/>
      <c r="C1203" s="1133"/>
      <c r="D1203" s="780"/>
      <c r="E1203" s="781"/>
      <c r="F1203" s="782"/>
      <c r="G1203" s="782"/>
      <c r="H1203" s="782"/>
      <c r="I1203" s="782"/>
    </row>
    <row r="1204" spans="1:9" s="783" customFormat="1" ht="18" hidden="1" customHeight="1" outlineLevel="2">
      <c r="A1204" s="779"/>
      <c r="B1204" s="1132"/>
      <c r="C1204" s="1133"/>
      <c r="D1204" s="780"/>
      <c r="E1204" s="781"/>
      <c r="F1204" s="782"/>
      <c r="G1204" s="782"/>
      <c r="H1204" s="782"/>
      <c r="I1204" s="782"/>
    </row>
    <row r="1205" spans="1:9" s="783" customFormat="1" ht="18" hidden="1" customHeight="1" outlineLevel="2">
      <c r="A1205" s="779"/>
      <c r="B1205" s="1132"/>
      <c r="C1205" s="1133"/>
      <c r="D1205" s="780"/>
      <c r="E1205" s="781"/>
      <c r="F1205" s="782"/>
      <c r="G1205" s="782"/>
      <c r="H1205" s="782"/>
      <c r="I1205" s="782"/>
    </row>
    <row r="1206" spans="1:9" s="787" customFormat="1" ht="18.75" hidden="1" customHeight="1" outlineLevel="2">
      <c r="A1206" s="779"/>
      <c r="B1206" s="1132"/>
      <c r="C1206" s="1133"/>
      <c r="D1206" s="784"/>
      <c r="E1206" s="785"/>
      <c r="F1206" s="786"/>
      <c r="G1206" s="786"/>
      <c r="H1206" s="786"/>
      <c r="I1206" s="786"/>
    </row>
    <row r="1207" spans="1:9" s="787" customFormat="1" ht="48.75" hidden="1" customHeight="1" outlineLevel="2">
      <c r="A1207" s="779"/>
      <c r="B1207" s="1132"/>
      <c r="C1207" s="1133"/>
      <c r="D1207" s="784"/>
      <c r="E1207" s="785"/>
      <c r="F1207" s="786"/>
      <c r="G1207" s="786"/>
      <c r="H1207" s="786"/>
      <c r="I1207" s="786"/>
    </row>
    <row r="1208" spans="1:9" s="787" customFormat="1" ht="33" hidden="1" customHeight="1" outlineLevel="2">
      <c r="A1208" s="779"/>
      <c r="B1208" s="1132"/>
      <c r="C1208" s="1133"/>
      <c r="D1208" s="784"/>
      <c r="E1208" s="785"/>
      <c r="F1208" s="786"/>
      <c r="G1208" s="786"/>
      <c r="H1208" s="786"/>
      <c r="I1208" s="786"/>
    </row>
    <row r="1209" spans="1:9" s="787" customFormat="1" ht="33" hidden="1" customHeight="1" outlineLevel="2">
      <c r="A1209" s="779"/>
      <c r="B1209" s="1132"/>
      <c r="C1209" s="1133"/>
      <c r="D1209" s="784"/>
      <c r="E1209" s="785"/>
      <c r="F1209" s="786"/>
      <c r="G1209" s="786"/>
      <c r="H1209" s="786"/>
      <c r="I1209" s="786"/>
    </row>
    <row r="1210" spans="1:9" s="787" customFormat="1" ht="16.5" hidden="1" customHeight="1" outlineLevel="2">
      <c r="A1210" s="779"/>
      <c r="B1210" s="1132"/>
      <c r="C1210" s="1133"/>
      <c r="D1210" s="784"/>
      <c r="E1210" s="785"/>
      <c r="F1210" s="786"/>
      <c r="G1210" s="786"/>
      <c r="H1210" s="786"/>
      <c r="I1210" s="786"/>
    </row>
    <row r="1211" spans="1:9" s="790" customFormat="1" ht="36" hidden="1" customHeight="1" outlineLevel="2">
      <c r="A1211" s="779"/>
      <c r="B1211" s="1132"/>
      <c r="C1211" s="1133"/>
      <c r="D1211" s="788"/>
      <c r="E1211" s="789"/>
      <c r="F1211" s="786"/>
      <c r="G1211" s="786"/>
      <c r="H1211" s="786"/>
      <c r="I1211" s="786"/>
    </row>
    <row r="1212" spans="1:9" s="790" customFormat="1" ht="15" hidden="1" outlineLevel="2">
      <c r="A1212" s="779"/>
      <c r="B1212" s="1132"/>
      <c r="C1212" s="1133"/>
      <c r="D1212" s="788"/>
      <c r="E1212" s="789"/>
      <c r="F1212" s="786"/>
      <c r="G1212" s="786"/>
      <c r="H1212" s="786"/>
      <c r="I1212" s="786"/>
    </row>
    <row r="1213" spans="1:9" s="790" customFormat="1" ht="30" hidden="1" customHeight="1" outlineLevel="2">
      <c r="A1213" s="779"/>
      <c r="B1213" s="1132"/>
      <c r="C1213" s="1133"/>
      <c r="D1213" s="788"/>
      <c r="E1213" s="789"/>
      <c r="F1213" s="786"/>
      <c r="G1213" s="786"/>
      <c r="H1213" s="786"/>
      <c r="I1213" s="786"/>
    </row>
    <row r="1214" spans="1:9" s="790" customFormat="1" ht="29.25" hidden="1" customHeight="1" outlineLevel="2">
      <c r="A1214" s="779"/>
      <c r="B1214" s="1132"/>
      <c r="C1214" s="1133"/>
      <c r="D1214" s="788"/>
      <c r="E1214" s="789"/>
      <c r="F1214" s="786"/>
      <c r="G1214" s="786"/>
      <c r="H1214" s="786"/>
      <c r="I1214" s="786"/>
    </row>
    <row r="1215" spans="1:9" s="790" customFormat="1" ht="19.5" hidden="1" customHeight="1" outlineLevel="2">
      <c r="A1215" s="779"/>
      <c r="B1215" s="1132"/>
      <c r="C1215" s="1133"/>
      <c r="D1215" s="788"/>
      <c r="E1215" s="789"/>
      <c r="F1215" s="786"/>
      <c r="G1215" s="786"/>
      <c r="H1215" s="786"/>
      <c r="I1215" s="786"/>
    </row>
    <row r="1216" spans="1:9" s="804" customFormat="1" ht="15" hidden="1" outlineLevel="2">
      <c r="A1216" s="801"/>
      <c r="B1216" s="1139"/>
      <c r="C1216" s="1140"/>
      <c r="D1216" s="802"/>
      <c r="E1216" s="792"/>
      <c r="F1216" s="803"/>
      <c r="G1216" s="803"/>
      <c r="H1216" s="803"/>
      <c r="I1216" s="803"/>
    </row>
    <row r="1217" spans="1:10" s="770" customFormat="1" ht="15" outlineLevel="1" collapsed="1">
      <c r="A1217" s="827"/>
      <c r="B1217" s="828" t="s">
        <v>831</v>
      </c>
      <c r="C1217" s="829"/>
      <c r="D1217" s="837"/>
      <c r="E1217" s="831">
        <f>+E1218+E1220+E1223</f>
        <v>600000</v>
      </c>
      <c r="F1217" s="831">
        <f>+F1218+F1220+F1223</f>
        <v>0</v>
      </c>
      <c r="G1217" s="831">
        <f>+G1218+G1220+G1223</f>
        <v>0</v>
      </c>
      <c r="H1217" s="831">
        <f>+H1218+H1220+H1223</f>
        <v>600000</v>
      </c>
      <c r="I1217" s="832">
        <f>G1217*100/E1217</f>
        <v>0</v>
      </c>
    </row>
    <row r="1218" spans="1:10" s="783" customFormat="1" ht="15" outlineLevel="2">
      <c r="A1218" s="771"/>
      <c r="B1218" s="838" t="s">
        <v>763</v>
      </c>
      <c r="C1218" s="839" t="s">
        <v>636</v>
      </c>
      <c r="D1218" s="840">
        <v>2100200002</v>
      </c>
      <c r="E1218" s="781">
        <f>SUM(E1219:E1219)</f>
        <v>600000</v>
      </c>
      <c r="F1218" s="782">
        <f>+[28]เรียงตามเขต!H97</f>
        <v>0</v>
      </c>
      <c r="G1218" s="782">
        <f>+[28]เรียงตามเขต!I97</f>
        <v>0</v>
      </c>
      <c r="H1218" s="782">
        <f>E1218-F1218-G1218</f>
        <v>600000</v>
      </c>
      <c r="I1218" s="776">
        <f>G1218*100/E1218</f>
        <v>0</v>
      </c>
    </row>
    <row r="1219" spans="1:10" s="770" customFormat="1" ht="34.5" customHeight="1" outlineLevel="1">
      <c r="A1219" s="791"/>
      <c r="B1219" s="1137" t="s">
        <v>832</v>
      </c>
      <c r="C1219" s="1138"/>
      <c r="D1219" s="841"/>
      <c r="E1219" s="800">
        <f>+[28]เรียงตามเขต!G97</f>
        <v>600000</v>
      </c>
      <c r="F1219" s="793">
        <f>+[28]เรียงตามเขต!H97</f>
        <v>0</v>
      </c>
      <c r="G1219" s="793">
        <f>+[28]เรียงตามเขต!I97</f>
        <v>0</v>
      </c>
      <c r="H1219" s="793"/>
      <c r="I1219" s="793"/>
    </row>
    <row r="1220" spans="1:10" s="783" customFormat="1" ht="15" hidden="1" outlineLevel="2">
      <c r="A1220" s="771"/>
      <c r="B1220" s="838" t="s">
        <v>790</v>
      </c>
      <c r="C1220" s="839" t="s">
        <v>791</v>
      </c>
      <c r="D1220" s="842">
        <v>2100200120</v>
      </c>
      <c r="E1220" s="843"/>
      <c r="F1220" s="782">
        <f>+[28]เรียงตามเขต!H98</f>
        <v>0</v>
      </c>
      <c r="G1220" s="782">
        <f>+[28]เรียงตามเขต!I98</f>
        <v>0</v>
      </c>
      <c r="H1220" s="782">
        <f>E1220-F1220-G1220</f>
        <v>0</v>
      </c>
      <c r="I1220" s="776" t="e">
        <f>G1220*100/E1220</f>
        <v>#DIV/0!</v>
      </c>
    </row>
    <row r="1221" spans="1:10" s="770" customFormat="1" ht="31.5" hidden="1" customHeight="1" outlineLevel="1">
      <c r="A1221" s="779"/>
      <c r="B1221" s="1132" t="s">
        <v>833</v>
      </c>
      <c r="C1221" s="1133"/>
      <c r="D1221" s="844"/>
      <c r="E1221" s="785"/>
      <c r="F1221" s="786"/>
      <c r="G1221" s="786"/>
      <c r="H1221" s="786"/>
      <c r="I1221" s="786"/>
    </row>
    <row r="1222" spans="1:10" s="770" customFormat="1" ht="15" hidden="1" outlineLevel="1">
      <c r="A1222" s="791"/>
      <c r="B1222" s="845"/>
      <c r="C1222" s="806"/>
      <c r="D1222" s="799"/>
      <c r="E1222" s="792"/>
      <c r="F1222" s="793"/>
      <c r="G1222" s="793"/>
      <c r="H1222" s="793"/>
      <c r="I1222" s="793"/>
    </row>
    <row r="1223" spans="1:10" s="783" customFormat="1" ht="15" hidden="1" outlineLevel="2">
      <c r="A1223" s="810"/>
      <c r="B1223" s="846" t="s">
        <v>792</v>
      </c>
      <c r="C1223" s="839" t="s">
        <v>834</v>
      </c>
      <c r="D1223" s="842">
        <v>2100200142</v>
      </c>
      <c r="E1223" s="843"/>
      <c r="F1223" s="847">
        <f>+[28]เรียงตามเขต!H99</f>
        <v>0</v>
      </c>
      <c r="G1223" s="782">
        <f>+[28]เรียงตามเขต!I99</f>
        <v>0</v>
      </c>
      <c r="H1223" s="782">
        <f>+E1223-F1223-G1223</f>
        <v>0</v>
      </c>
      <c r="I1223" s="776" t="e">
        <f>G1223*100/E1223</f>
        <v>#DIV/0!</v>
      </c>
    </row>
    <row r="1224" spans="1:10" s="770" customFormat="1" ht="44.25" hidden="1" customHeight="1" outlineLevel="1">
      <c r="A1224" s="779"/>
      <c r="B1224" s="1132" t="s">
        <v>833</v>
      </c>
      <c r="C1224" s="1133"/>
      <c r="D1224" s="844"/>
      <c r="E1224" s="785"/>
      <c r="F1224" s="786"/>
      <c r="G1224" s="786"/>
      <c r="H1224" s="786"/>
      <c r="I1224" s="786"/>
    </row>
    <row r="1225" spans="1:10" s="770" customFormat="1" ht="15" hidden="1" outlineLevel="1">
      <c r="A1225" s="791"/>
      <c r="B1225" s="845"/>
      <c r="C1225" s="806"/>
      <c r="D1225" s="799"/>
      <c r="E1225" s="792"/>
      <c r="F1225" s="793"/>
      <c r="G1225" s="793"/>
      <c r="H1225" s="793"/>
      <c r="I1225" s="793"/>
    </row>
    <row r="1226" spans="1:10" s="816" customFormat="1" ht="15" customHeight="1" outlineLevel="1">
      <c r="A1226" s="848">
        <v>2</v>
      </c>
      <c r="B1226" s="1149" t="s">
        <v>685</v>
      </c>
      <c r="C1226" s="1150"/>
      <c r="D1226" s="837"/>
      <c r="E1226" s="831">
        <f>E1227+E1246+E1256+E1259+E1254+E1252+E1249</f>
        <v>900000</v>
      </c>
      <c r="F1226" s="831">
        <f>F1227+F1246+F1256+F1259+F1254+F1252+F1249</f>
        <v>0</v>
      </c>
      <c r="G1226" s="831">
        <f>G1227+G1246+G1256+G1259+G1254+G1252+G1249</f>
        <v>0</v>
      </c>
      <c r="H1226" s="831">
        <f>H1227+H1246+H1256+H1259+H1254+H1252+H1249</f>
        <v>900000</v>
      </c>
      <c r="I1226" s="832">
        <f>G1226*100/E1226</f>
        <v>0</v>
      </c>
    </row>
    <row r="1227" spans="1:10" s="816" customFormat="1" ht="15" hidden="1" outlineLevel="1">
      <c r="A1227" s="849"/>
      <c r="B1227" s="811">
        <v>2.1</v>
      </c>
      <c r="C1227" s="812" t="s">
        <v>835</v>
      </c>
      <c r="D1227" s="842">
        <v>2100600000</v>
      </c>
      <c r="E1227" s="843">
        <f>SUM(E1228:E1229)</f>
        <v>0</v>
      </c>
      <c r="F1227" s="847">
        <f>+[28]เรียงตามเขต!H101</f>
        <v>0</v>
      </c>
      <c r="G1227" s="847">
        <f>+[28]เรียงตามเขต!I101</f>
        <v>0</v>
      </c>
      <c r="H1227" s="847">
        <f>E1227-F1227-G1227</f>
        <v>0</v>
      </c>
      <c r="I1227" s="850" t="e">
        <f>G1227*100/E1227</f>
        <v>#DIV/0!</v>
      </c>
      <c r="J1227" s="851"/>
    </row>
    <row r="1228" spans="1:10" s="816" customFormat="1" ht="34.5" hidden="1" customHeight="1" outlineLevel="1">
      <c r="A1228" s="852"/>
      <c r="B1228" s="1151" t="s">
        <v>836</v>
      </c>
      <c r="C1228" s="1152"/>
      <c r="D1228" s="853"/>
      <c r="E1228" s="854">
        <v>0</v>
      </c>
      <c r="F1228" s="855">
        <v>0</v>
      </c>
      <c r="G1228" s="855">
        <v>0</v>
      </c>
      <c r="H1228" s="855">
        <f>+E1228-F1228-G1228</f>
        <v>0</v>
      </c>
      <c r="I1228" s="856" t="e">
        <f>G1228*100/E1228</f>
        <v>#DIV/0!</v>
      </c>
    </row>
    <row r="1229" spans="1:10" s="862" customFormat="1" ht="30.75" hidden="1" customHeight="1" outlineLevel="1">
      <c r="A1229" s="857"/>
      <c r="B1229" s="1153" t="s">
        <v>837</v>
      </c>
      <c r="C1229" s="1154"/>
      <c r="D1229" s="858"/>
      <c r="E1229" s="859"/>
      <c r="F1229" s="860"/>
      <c r="G1229" s="860"/>
      <c r="H1229" s="860"/>
      <c r="I1229" s="861"/>
    </row>
    <row r="1230" spans="1:10" s="816" customFormat="1" ht="15" hidden="1" outlineLevel="1">
      <c r="A1230" s="863"/>
      <c r="B1230" s="864"/>
      <c r="C1230" s="773" t="s">
        <v>838</v>
      </c>
      <c r="D1230" s="840"/>
      <c r="E1230" s="781"/>
      <c r="F1230" s="782">
        <f>+[28]เรียงตามเขต!H102</f>
        <v>0</v>
      </c>
      <c r="G1230" s="782">
        <f>+[28]เรียงตามเขต!I102</f>
        <v>0</v>
      </c>
      <c r="H1230" s="782">
        <f>+E1230-F1230-G1230</f>
        <v>0</v>
      </c>
      <c r="I1230" s="865" t="e">
        <f>+G1230*100/E1230</f>
        <v>#DIV/0!</v>
      </c>
    </row>
    <row r="1231" spans="1:10" s="798" customFormat="1" ht="15" hidden="1" outlineLevel="2">
      <c r="A1231" s="863"/>
      <c r="B1231" s="864"/>
      <c r="C1231" s="773" t="s">
        <v>839</v>
      </c>
      <c r="D1231" s="840">
        <v>2100600017</v>
      </c>
      <c r="E1231" s="781"/>
      <c r="F1231" s="782">
        <f>+[28]เรียงตามเขต!H103</f>
        <v>0</v>
      </c>
      <c r="G1231" s="782">
        <f>+[28]เรียงตามเขต!I103</f>
        <v>0</v>
      </c>
      <c r="H1231" s="782">
        <f>E1231-F1231-G1231</f>
        <v>0</v>
      </c>
      <c r="I1231" s="865" t="e">
        <f t="shared" ref="I1231:I1255" si="0">+G1231*100/E1231</f>
        <v>#DIV/0!</v>
      </c>
    </row>
    <row r="1232" spans="1:10" s="798" customFormat="1" ht="15" hidden="1" outlineLevel="2">
      <c r="A1232" s="866"/>
      <c r="B1232" s="864"/>
      <c r="C1232" s="773" t="s">
        <v>840</v>
      </c>
      <c r="D1232" s="840">
        <v>2100600018</v>
      </c>
      <c r="E1232" s="781"/>
      <c r="F1232" s="782">
        <f>+[28]เรียงตามเขต!H104</f>
        <v>0</v>
      </c>
      <c r="G1232" s="782">
        <f>+[28]เรียงตามเขต!I104</f>
        <v>0</v>
      </c>
      <c r="H1232" s="782">
        <f t="shared" ref="H1232:H1244" si="1">E1232-F1232-G1232</f>
        <v>0</v>
      </c>
      <c r="I1232" s="865" t="e">
        <f t="shared" si="0"/>
        <v>#DIV/0!</v>
      </c>
    </row>
    <row r="1233" spans="1:9" s="816" customFormat="1" ht="15" hidden="1" outlineLevel="1">
      <c r="A1233" s="866"/>
      <c r="B1233" s="864"/>
      <c r="C1233" s="773" t="s">
        <v>841</v>
      </c>
      <c r="D1233" s="840">
        <v>2100600019</v>
      </c>
      <c r="E1233" s="781"/>
      <c r="F1233" s="782">
        <f>+[28]เรียงตามเขต!H105</f>
        <v>0</v>
      </c>
      <c r="G1233" s="782">
        <f>+[28]เรียงตามเขต!I105</f>
        <v>0</v>
      </c>
      <c r="H1233" s="782">
        <f t="shared" si="1"/>
        <v>0</v>
      </c>
      <c r="I1233" s="865" t="e">
        <f t="shared" si="0"/>
        <v>#DIV/0!</v>
      </c>
    </row>
    <row r="1234" spans="1:9" s="798" customFormat="1" ht="15" hidden="1" outlineLevel="2">
      <c r="A1234" s="863"/>
      <c r="B1234" s="864"/>
      <c r="C1234" s="773" t="s">
        <v>842</v>
      </c>
      <c r="D1234" s="840">
        <v>2100600020</v>
      </c>
      <c r="E1234" s="781"/>
      <c r="F1234" s="782">
        <f>+[28]เรียงตามเขต!H106</f>
        <v>0</v>
      </c>
      <c r="G1234" s="782">
        <f>+[28]เรียงตามเขต!I106</f>
        <v>0</v>
      </c>
      <c r="H1234" s="782">
        <f t="shared" si="1"/>
        <v>0</v>
      </c>
      <c r="I1234" s="865" t="e">
        <f t="shared" si="0"/>
        <v>#DIV/0!</v>
      </c>
    </row>
    <row r="1235" spans="1:9" s="816" customFormat="1" ht="15" hidden="1" outlineLevel="1">
      <c r="A1235" s="866"/>
      <c r="B1235" s="864"/>
      <c r="C1235" s="773" t="s">
        <v>843</v>
      </c>
      <c r="D1235" s="840">
        <v>2100600021</v>
      </c>
      <c r="E1235" s="781"/>
      <c r="F1235" s="782">
        <f>+[28]เรียงตามเขต!H107</f>
        <v>0</v>
      </c>
      <c r="G1235" s="782">
        <f>+[28]เรียงตามเขต!I107</f>
        <v>0</v>
      </c>
      <c r="H1235" s="782">
        <f t="shared" si="1"/>
        <v>0</v>
      </c>
      <c r="I1235" s="865" t="e">
        <f t="shared" si="0"/>
        <v>#DIV/0!</v>
      </c>
    </row>
    <row r="1236" spans="1:9" s="816" customFormat="1" ht="15" hidden="1" outlineLevel="1">
      <c r="A1236" s="863"/>
      <c r="B1236" s="864"/>
      <c r="C1236" s="773" t="s">
        <v>844</v>
      </c>
      <c r="D1236" s="840">
        <v>2100600022</v>
      </c>
      <c r="E1236" s="781"/>
      <c r="F1236" s="782">
        <f>+[28]เรียงตามเขต!H108</f>
        <v>0</v>
      </c>
      <c r="G1236" s="782">
        <f>+[28]เรียงตามเขต!I108</f>
        <v>0</v>
      </c>
      <c r="H1236" s="782">
        <f t="shared" si="1"/>
        <v>0</v>
      </c>
      <c r="I1236" s="865" t="e">
        <f t="shared" si="0"/>
        <v>#DIV/0!</v>
      </c>
    </row>
    <row r="1237" spans="1:9" s="816" customFormat="1" ht="15" hidden="1" outlineLevel="1">
      <c r="A1237" s="863"/>
      <c r="B1237" s="864"/>
      <c r="C1237" s="773" t="s">
        <v>845</v>
      </c>
      <c r="D1237" s="840">
        <v>2100600023</v>
      </c>
      <c r="E1237" s="781"/>
      <c r="F1237" s="782">
        <f>+[28]เรียงตามเขต!H109</f>
        <v>0</v>
      </c>
      <c r="G1237" s="782">
        <f>+[28]เรียงตามเขต!I109</f>
        <v>0</v>
      </c>
      <c r="H1237" s="782">
        <f t="shared" si="1"/>
        <v>0</v>
      </c>
      <c r="I1237" s="865" t="e">
        <f t="shared" si="0"/>
        <v>#DIV/0!</v>
      </c>
    </row>
    <row r="1238" spans="1:9" s="816" customFormat="1" ht="15" hidden="1" outlineLevel="1">
      <c r="A1238" s="863"/>
      <c r="B1238" s="864"/>
      <c r="C1238" s="773" t="s">
        <v>846</v>
      </c>
      <c r="D1238" s="840">
        <v>2100600024</v>
      </c>
      <c r="E1238" s="781"/>
      <c r="F1238" s="782">
        <f>+[28]เรียงตามเขต!H110</f>
        <v>0</v>
      </c>
      <c r="G1238" s="782">
        <f>+[28]เรียงตามเขต!I110</f>
        <v>0</v>
      </c>
      <c r="H1238" s="782">
        <f t="shared" si="1"/>
        <v>0</v>
      </c>
      <c r="I1238" s="865" t="e">
        <f t="shared" si="0"/>
        <v>#DIV/0!</v>
      </c>
    </row>
    <row r="1239" spans="1:9" s="816" customFormat="1" ht="15" hidden="1" outlineLevel="1">
      <c r="A1239" s="863"/>
      <c r="B1239" s="864"/>
      <c r="C1239" s="773" t="s">
        <v>804</v>
      </c>
      <c r="D1239" s="840">
        <v>2100600025</v>
      </c>
      <c r="E1239" s="781"/>
      <c r="F1239" s="782">
        <f>+[28]เรียงตามเขต!H111</f>
        <v>0</v>
      </c>
      <c r="G1239" s="782">
        <f>+[28]เรียงตามเขต!I111</f>
        <v>0</v>
      </c>
      <c r="H1239" s="782">
        <f t="shared" si="1"/>
        <v>0</v>
      </c>
      <c r="I1239" s="865" t="e">
        <f t="shared" si="0"/>
        <v>#DIV/0!</v>
      </c>
    </row>
    <row r="1240" spans="1:9" s="816" customFormat="1" ht="15" hidden="1" outlineLevel="1">
      <c r="A1240" s="863"/>
      <c r="B1240" s="864"/>
      <c r="C1240" s="773" t="s">
        <v>805</v>
      </c>
      <c r="D1240" s="840">
        <v>2100600026</v>
      </c>
      <c r="E1240" s="781"/>
      <c r="F1240" s="782">
        <f>+[28]เรียงตามเขต!H112</f>
        <v>0</v>
      </c>
      <c r="G1240" s="782">
        <f>+[28]เรียงตามเขต!I112</f>
        <v>0</v>
      </c>
      <c r="H1240" s="782">
        <f t="shared" si="1"/>
        <v>0</v>
      </c>
      <c r="I1240" s="865" t="e">
        <f t="shared" si="0"/>
        <v>#DIV/0!</v>
      </c>
    </row>
    <row r="1241" spans="1:9" s="816" customFormat="1" ht="15" hidden="1" outlineLevel="1">
      <c r="A1241" s="863"/>
      <c r="B1241" s="864"/>
      <c r="C1241" s="773" t="s">
        <v>806</v>
      </c>
      <c r="D1241" s="840">
        <v>2100600027</v>
      </c>
      <c r="E1241" s="781"/>
      <c r="F1241" s="782">
        <f>+[28]เรียงตามเขต!H113</f>
        <v>0</v>
      </c>
      <c r="G1241" s="782">
        <f>+[28]เรียงตามเขต!I113</f>
        <v>0</v>
      </c>
      <c r="H1241" s="782">
        <f t="shared" si="1"/>
        <v>0</v>
      </c>
      <c r="I1241" s="865" t="e">
        <f t="shared" si="0"/>
        <v>#DIV/0!</v>
      </c>
    </row>
    <row r="1242" spans="1:9" s="816" customFormat="1" ht="15" hidden="1" outlineLevel="1">
      <c r="A1242" s="863"/>
      <c r="B1242" s="864"/>
      <c r="C1242" s="773" t="s">
        <v>807</v>
      </c>
      <c r="D1242" s="840">
        <v>2100600028</v>
      </c>
      <c r="E1242" s="781"/>
      <c r="F1242" s="782">
        <f>+[28]เรียงตามเขต!H114</f>
        <v>0</v>
      </c>
      <c r="G1242" s="782">
        <f>+[28]เรียงตามเขต!I114</f>
        <v>0</v>
      </c>
      <c r="H1242" s="782">
        <f t="shared" si="1"/>
        <v>0</v>
      </c>
      <c r="I1242" s="865" t="e">
        <f t="shared" si="0"/>
        <v>#DIV/0!</v>
      </c>
    </row>
    <row r="1243" spans="1:9" s="816" customFormat="1" ht="14.25" hidden="1" customHeight="1" outlineLevel="1">
      <c r="A1243" s="863"/>
      <c r="B1243" s="864"/>
      <c r="C1243" s="773" t="s">
        <v>808</v>
      </c>
      <c r="D1243" s="840">
        <v>2100600029</v>
      </c>
      <c r="E1243" s="781"/>
      <c r="F1243" s="782">
        <f>+[28]เรียงตามเขต!H115</f>
        <v>0</v>
      </c>
      <c r="G1243" s="782">
        <f>+[28]เรียงตามเขต!I115</f>
        <v>0</v>
      </c>
      <c r="H1243" s="782">
        <f t="shared" si="1"/>
        <v>0</v>
      </c>
      <c r="I1243" s="865" t="e">
        <f t="shared" si="0"/>
        <v>#DIV/0!</v>
      </c>
    </row>
    <row r="1244" spans="1:9" s="816" customFormat="1" ht="15" hidden="1" outlineLevel="1">
      <c r="A1244" s="863"/>
      <c r="B1244" s="864"/>
      <c r="C1244" s="773" t="s">
        <v>809</v>
      </c>
      <c r="D1244" s="780">
        <v>2100600039</v>
      </c>
      <c r="E1244" s="781"/>
      <c r="F1244" s="782">
        <f>+[28]เรียงตามเขต!H116</f>
        <v>0</v>
      </c>
      <c r="G1244" s="782">
        <f>+[28]เรียงตามเขต!I116</f>
        <v>0</v>
      </c>
      <c r="H1244" s="782">
        <f t="shared" si="1"/>
        <v>0</v>
      </c>
      <c r="I1244" s="865" t="e">
        <f t="shared" si="0"/>
        <v>#DIV/0!</v>
      </c>
    </row>
    <row r="1245" spans="1:9" s="816" customFormat="1" ht="15" hidden="1" outlineLevel="1">
      <c r="A1245" s="867"/>
      <c r="B1245" s="868"/>
      <c r="C1245" s="869" t="s">
        <v>810</v>
      </c>
      <c r="D1245" s="795">
        <v>2100600047</v>
      </c>
      <c r="E1245" s="796"/>
      <c r="F1245" s="797">
        <f>+[28]เรียงตามเขต!H117</f>
        <v>0</v>
      </c>
      <c r="G1245" s="797">
        <f>+[28]เรียงตามเขต!I117</f>
        <v>0</v>
      </c>
      <c r="H1245" s="797">
        <f>E1245-F1245-G1245</f>
        <v>0</v>
      </c>
      <c r="I1245" s="870" t="e">
        <f>+G1245*100/E1245</f>
        <v>#DIV/0!</v>
      </c>
    </row>
    <row r="1246" spans="1:9" s="816" customFormat="1" ht="15" hidden="1" customHeight="1" outlineLevel="1">
      <c r="A1246" s="771"/>
      <c r="B1246" s="864">
        <v>2.2000000000000002</v>
      </c>
      <c r="C1246" s="773" t="s">
        <v>847</v>
      </c>
      <c r="D1246" s="840">
        <v>2100300000</v>
      </c>
      <c r="E1246" s="781">
        <f>SUM(E1247:E1248)</f>
        <v>0</v>
      </c>
      <c r="F1246" s="782">
        <f>+[28]เรียงตามเขต!H118</f>
        <v>0</v>
      </c>
      <c r="G1246" s="782">
        <f>+[28]เรียงตามเขต!I118</f>
        <v>0</v>
      </c>
      <c r="H1246" s="782">
        <f>+E1246-F1246-G1246</f>
        <v>0</v>
      </c>
      <c r="I1246" s="782" t="e">
        <f t="shared" si="0"/>
        <v>#DIV/0!</v>
      </c>
    </row>
    <row r="1247" spans="1:9" s="816" customFormat="1" ht="45" hidden="1" outlineLevel="1">
      <c r="A1247" s="771"/>
      <c r="B1247" s="864"/>
      <c r="C1247" s="773" t="s">
        <v>848</v>
      </c>
      <c r="D1247" s="784"/>
      <c r="E1247" s="785"/>
      <c r="F1247" s="782"/>
      <c r="G1247" s="798"/>
      <c r="H1247" s="782"/>
      <c r="I1247" s="782" t="e">
        <f t="shared" si="0"/>
        <v>#DIV/0!</v>
      </c>
    </row>
    <row r="1248" spans="1:9" s="816" customFormat="1" ht="45" hidden="1" outlineLevel="1">
      <c r="A1248" s="871"/>
      <c r="B1248" s="868"/>
      <c r="C1248" s="869" t="s">
        <v>849</v>
      </c>
      <c r="D1248" s="799"/>
      <c r="E1248" s="800"/>
      <c r="F1248" s="797"/>
      <c r="G1248" s="872"/>
      <c r="H1248" s="797"/>
      <c r="I1248" s="782" t="e">
        <f>+G1248*100/E1248</f>
        <v>#DIV/0!</v>
      </c>
    </row>
    <row r="1249" spans="1:9" s="816" customFormat="1" ht="15" customHeight="1" outlineLevel="1">
      <c r="A1249" s="771"/>
      <c r="B1249" s="807">
        <v>2.1</v>
      </c>
      <c r="C1249" s="773" t="s">
        <v>653</v>
      </c>
      <c r="D1249" s="840">
        <v>2100500000</v>
      </c>
      <c r="E1249" s="781">
        <f>SUM(E1250:E1251)</f>
        <v>400000</v>
      </c>
      <c r="F1249" s="782">
        <f>+[28]เรียงตามเขต!H119</f>
        <v>0</v>
      </c>
      <c r="G1249" s="782">
        <f>+[28]เรียงตามเขต!I119</f>
        <v>0</v>
      </c>
      <c r="H1249" s="782">
        <f>E1249-F1249-G1249</f>
        <v>400000</v>
      </c>
      <c r="I1249" s="782">
        <f>+G1249*100/E1249</f>
        <v>0</v>
      </c>
    </row>
    <row r="1250" spans="1:9" s="816" customFormat="1" ht="33" customHeight="1" outlineLevel="1">
      <c r="A1250" s="771"/>
      <c r="B1250" s="1132" t="s">
        <v>850</v>
      </c>
      <c r="C1250" s="1133"/>
      <c r="D1250" s="840"/>
      <c r="E1250" s="781">
        <f>+[28]เรียงตามเขต!G119</f>
        <v>400000</v>
      </c>
      <c r="F1250" s="782">
        <f>+[28]เรียงตามเขต!H119</f>
        <v>0</v>
      </c>
      <c r="G1250" s="873">
        <f>+[28]เรียงตามเขต!I119</f>
        <v>0</v>
      </c>
      <c r="H1250" s="782"/>
      <c r="I1250" s="782"/>
    </row>
    <row r="1251" spans="1:9" s="816" customFormat="1" ht="15" outlineLevel="1">
      <c r="A1251" s="871"/>
      <c r="B1251" s="868"/>
      <c r="C1251" s="869"/>
      <c r="D1251" s="799"/>
      <c r="E1251" s="800"/>
      <c r="F1251" s="797"/>
      <c r="G1251" s="872"/>
      <c r="H1251" s="797"/>
      <c r="I1251" s="797"/>
    </row>
    <row r="1252" spans="1:9" s="798" customFormat="1" ht="15" hidden="1" customHeight="1">
      <c r="A1252" s="779"/>
      <c r="B1252" s="864">
        <v>2.4</v>
      </c>
      <c r="C1252" s="773" t="s">
        <v>813</v>
      </c>
      <c r="D1252" s="780">
        <v>2100700000</v>
      </c>
      <c r="E1252" s="781">
        <f>SUM(E1253)</f>
        <v>0</v>
      </c>
      <c r="F1252" s="781">
        <f>+[28]เรียงตามเขต!H120</f>
        <v>0</v>
      </c>
      <c r="G1252" s="781">
        <f>+[28]เรียงตามเขต!I120</f>
        <v>0</v>
      </c>
      <c r="H1252" s="782">
        <f>+E1252-F1252-G1252</f>
        <v>0</v>
      </c>
      <c r="I1252" s="782" t="e">
        <f t="shared" si="0"/>
        <v>#DIV/0!</v>
      </c>
    </row>
    <row r="1253" spans="1:9" s="798" customFormat="1" ht="17.25" hidden="1" customHeight="1">
      <c r="A1253" s="791"/>
      <c r="B1253" s="868"/>
      <c r="C1253" s="869" t="s">
        <v>851</v>
      </c>
      <c r="D1253" s="795"/>
      <c r="E1253" s="796"/>
      <c r="F1253" s="797"/>
      <c r="G1253" s="874"/>
      <c r="H1253" s="797"/>
      <c r="I1253" s="782" t="e">
        <f t="shared" si="0"/>
        <v>#DIV/0!</v>
      </c>
    </row>
    <row r="1254" spans="1:9" s="798" customFormat="1" ht="15" hidden="1" customHeight="1">
      <c r="A1254" s="810"/>
      <c r="B1254" s="875" t="s">
        <v>852</v>
      </c>
      <c r="C1254" s="812" t="s">
        <v>814</v>
      </c>
      <c r="D1254" s="842">
        <v>2010300000</v>
      </c>
      <c r="E1254" s="843">
        <f>SUM(E1255)</f>
        <v>0</v>
      </c>
      <c r="F1254" s="847">
        <f>+[28]เรียงตามเขต!H121</f>
        <v>0</v>
      </c>
      <c r="G1254" s="847">
        <f>+[28]เรียงตามเขต!I121</f>
        <v>0</v>
      </c>
      <c r="H1254" s="847">
        <f>+E1254-F1254-G1254</f>
        <v>0</v>
      </c>
      <c r="I1254" s="782" t="e">
        <f t="shared" si="0"/>
        <v>#DIV/0!</v>
      </c>
    </row>
    <row r="1255" spans="1:9" s="798" customFormat="1" ht="15" hidden="1" customHeight="1">
      <c r="A1255" s="871"/>
      <c r="B1255" s="868"/>
      <c r="C1255" s="869"/>
      <c r="D1255" s="799"/>
      <c r="E1255" s="800"/>
      <c r="F1255" s="797"/>
      <c r="G1255" s="797"/>
      <c r="H1255" s="797"/>
      <c r="I1255" s="782" t="e">
        <f t="shared" si="0"/>
        <v>#DIV/0!</v>
      </c>
    </row>
    <row r="1256" spans="1:9" s="816" customFormat="1" ht="15" hidden="1" outlineLevel="1">
      <c r="A1256" s="810"/>
      <c r="B1256" s="811">
        <v>2.2999999999999998</v>
      </c>
      <c r="C1256" s="812" t="s">
        <v>815</v>
      </c>
      <c r="D1256" s="842">
        <v>1500900000</v>
      </c>
      <c r="E1256" s="843">
        <f>SUM(E1257:E1258)</f>
        <v>0</v>
      </c>
      <c r="F1256" s="843">
        <f>+[28]เรียงตามเขต!H122</f>
        <v>0</v>
      </c>
      <c r="G1256" s="843">
        <f>+[28]เรียงตามเขต!I122</f>
        <v>0</v>
      </c>
      <c r="H1256" s="847">
        <f>E1256-F1256-G1256</f>
        <v>0</v>
      </c>
      <c r="I1256" s="847" t="e">
        <f>+G1256*100/E1256</f>
        <v>#DIV/0!</v>
      </c>
    </row>
    <row r="1257" spans="1:9" s="816" customFormat="1" ht="30.75" hidden="1" customHeight="1" outlineLevel="1">
      <c r="A1257" s="771"/>
      <c r="B1257" s="1155" t="s">
        <v>853</v>
      </c>
      <c r="C1257" s="1156"/>
      <c r="D1257" s="784"/>
      <c r="E1257" s="785"/>
      <c r="F1257" s="782"/>
      <c r="G1257" s="798"/>
      <c r="H1257" s="782"/>
      <c r="I1257" s="782"/>
    </row>
    <row r="1258" spans="1:9" s="862" customFormat="1" ht="15" hidden="1" outlineLevel="1">
      <c r="A1258" s="876"/>
      <c r="B1258" s="1157" t="s">
        <v>854</v>
      </c>
      <c r="C1258" s="1158"/>
      <c r="D1258" s="841"/>
      <c r="E1258" s="792"/>
      <c r="F1258" s="877"/>
      <c r="G1258" s="878"/>
      <c r="H1258" s="877"/>
      <c r="I1258" s="877"/>
    </row>
    <row r="1259" spans="1:9" s="798" customFormat="1" ht="15" collapsed="1">
      <c r="A1259" s="771"/>
      <c r="B1259" s="807">
        <v>2.2000000000000002</v>
      </c>
      <c r="C1259" s="773" t="s">
        <v>652</v>
      </c>
      <c r="D1259" s="840">
        <v>2500700000</v>
      </c>
      <c r="E1259" s="781">
        <f>SUM(E1260:E1261)</f>
        <v>500000</v>
      </c>
      <c r="F1259" s="781">
        <f>+[28]เรียงตามเขต!H123</f>
        <v>0</v>
      </c>
      <c r="G1259" s="781">
        <f>+[28]เรียงตามเขต!I123</f>
        <v>0</v>
      </c>
      <c r="H1259" s="782">
        <f>+E1259-F1259-G1259</f>
        <v>500000</v>
      </c>
      <c r="I1259" s="782">
        <f>+G1259*100/E1259</f>
        <v>0</v>
      </c>
    </row>
    <row r="1260" spans="1:9" s="798" customFormat="1" ht="34.5" customHeight="1">
      <c r="A1260" s="871"/>
      <c r="B1260" s="1137" t="s">
        <v>855</v>
      </c>
      <c r="C1260" s="1138"/>
      <c r="D1260" s="879"/>
      <c r="E1260" s="800">
        <f>+[28]เรียงตามเขต!G123</f>
        <v>500000</v>
      </c>
      <c r="F1260" s="797"/>
      <c r="G1260" s="874"/>
      <c r="H1260" s="797"/>
      <c r="I1260" s="797"/>
    </row>
    <row r="1261" spans="1:9" s="798" customFormat="1" ht="34.5" hidden="1" customHeight="1">
      <c r="A1261" s="871"/>
      <c r="B1261" s="1137"/>
      <c r="C1261" s="1138"/>
      <c r="D1261" s="879"/>
      <c r="E1261" s="800"/>
      <c r="F1261" s="797"/>
      <c r="G1261" s="874"/>
      <c r="H1261" s="797"/>
      <c r="I1261" s="797"/>
    </row>
  </sheetData>
  <mergeCells count="1136">
    <mergeCell ref="B1260:C1260"/>
    <mergeCell ref="B1261:C1261"/>
    <mergeCell ref="B1226:C1226"/>
    <mergeCell ref="B1228:C1228"/>
    <mergeCell ref="B1229:C1229"/>
    <mergeCell ref="B1250:C1250"/>
    <mergeCell ref="B1257:C1257"/>
    <mergeCell ref="B1258:C1258"/>
    <mergeCell ref="B1214:C1214"/>
    <mergeCell ref="B1215:C1215"/>
    <mergeCell ref="B1216:C1216"/>
    <mergeCell ref="B1219:C1219"/>
    <mergeCell ref="B1221:C1221"/>
    <mergeCell ref="B1224:C1224"/>
    <mergeCell ref="B1208:C1208"/>
    <mergeCell ref="B1209:C1209"/>
    <mergeCell ref="B1210:C1210"/>
    <mergeCell ref="B1211:C1211"/>
    <mergeCell ref="B1212:C1212"/>
    <mergeCell ref="B1213:C1213"/>
    <mergeCell ref="B1202:C1202"/>
    <mergeCell ref="B1203:C1203"/>
    <mergeCell ref="B1204:C1204"/>
    <mergeCell ref="B1205:C1205"/>
    <mergeCell ref="B1206:C1206"/>
    <mergeCell ref="B1207:C1207"/>
    <mergeCell ref="B1195:C1195"/>
    <mergeCell ref="B1196:C1196"/>
    <mergeCell ref="B1197:C1197"/>
    <mergeCell ref="B1198:C1198"/>
    <mergeCell ref="B1199:C1199"/>
    <mergeCell ref="B1200:C1200"/>
    <mergeCell ref="B1189:C1189"/>
    <mergeCell ref="B1190:C1190"/>
    <mergeCell ref="B1191:C1191"/>
    <mergeCell ref="B1192:C1192"/>
    <mergeCell ref="B1193:C1193"/>
    <mergeCell ref="B1194:C1194"/>
    <mergeCell ref="B1182:C1182"/>
    <mergeCell ref="B1183:C1183"/>
    <mergeCell ref="B1184:C1184"/>
    <mergeCell ref="B1186:C1186"/>
    <mergeCell ref="B1187:C1187"/>
    <mergeCell ref="B1188:C1188"/>
    <mergeCell ref="B1176:C1176"/>
    <mergeCell ref="B1177:C1177"/>
    <mergeCell ref="B1178:C1178"/>
    <mergeCell ref="B1179:C1179"/>
    <mergeCell ref="B1180:C1180"/>
    <mergeCell ref="B1181:C1181"/>
    <mergeCell ref="B1170:C1170"/>
    <mergeCell ref="B1171:C1171"/>
    <mergeCell ref="B1172:C1172"/>
    <mergeCell ref="B1173:C1173"/>
    <mergeCell ref="B1174:C1174"/>
    <mergeCell ref="B1175:C1175"/>
    <mergeCell ref="B1163:C1163"/>
    <mergeCell ref="B1164:C1164"/>
    <mergeCell ref="B1165:C1165"/>
    <mergeCell ref="B1166:C1166"/>
    <mergeCell ref="B1167:C1167"/>
    <mergeCell ref="B1168:C1168"/>
    <mergeCell ref="B1157:C1157"/>
    <mergeCell ref="B1158:C1158"/>
    <mergeCell ref="B1159:C1159"/>
    <mergeCell ref="B1160:C1160"/>
    <mergeCell ref="B1161:C1161"/>
    <mergeCell ref="B1162:C1162"/>
    <mergeCell ref="B1150:C1150"/>
    <mergeCell ref="B1152:C1152"/>
    <mergeCell ref="B1153:C1153"/>
    <mergeCell ref="B1154:C1154"/>
    <mergeCell ref="B1155:C1155"/>
    <mergeCell ref="B1156:C1156"/>
    <mergeCell ref="B1144:C1144"/>
    <mergeCell ref="B1145:C1145"/>
    <mergeCell ref="B1146:C1146"/>
    <mergeCell ref="B1147:C1147"/>
    <mergeCell ref="B1148:C1148"/>
    <mergeCell ref="B1149:C1149"/>
    <mergeCell ref="B1138:C1138"/>
    <mergeCell ref="B1139:C1139"/>
    <mergeCell ref="B1140:C1140"/>
    <mergeCell ref="B1141:C1141"/>
    <mergeCell ref="B1142:C1142"/>
    <mergeCell ref="B1143:C1143"/>
    <mergeCell ref="B1131:C1131"/>
    <mergeCell ref="B1132:C1132"/>
    <mergeCell ref="B1133:C1133"/>
    <mergeCell ref="B1134:C1134"/>
    <mergeCell ref="B1136:C1136"/>
    <mergeCell ref="B1137:C1137"/>
    <mergeCell ref="B1125:C1125"/>
    <mergeCell ref="B1126:C1126"/>
    <mergeCell ref="B1127:C1127"/>
    <mergeCell ref="B1128:C1128"/>
    <mergeCell ref="B1129:C1129"/>
    <mergeCell ref="B1130:C1130"/>
    <mergeCell ref="B1118:C1118"/>
    <mergeCell ref="B1120:C1120"/>
    <mergeCell ref="B1121:C1121"/>
    <mergeCell ref="B1122:C1122"/>
    <mergeCell ref="B1123:C1123"/>
    <mergeCell ref="B1124:C1124"/>
    <mergeCell ref="B1112:C1112"/>
    <mergeCell ref="B1113:C1113"/>
    <mergeCell ref="B1114:C1114"/>
    <mergeCell ref="B1115:C1115"/>
    <mergeCell ref="B1116:C1116"/>
    <mergeCell ref="B1117:C1117"/>
    <mergeCell ref="B1106:C1106"/>
    <mergeCell ref="B1107:C1107"/>
    <mergeCell ref="B1108:C1108"/>
    <mergeCell ref="B1109:C1109"/>
    <mergeCell ref="B1110:C1110"/>
    <mergeCell ref="B1111:C1111"/>
    <mergeCell ref="B1098:C1098"/>
    <mergeCell ref="B1099:C1099"/>
    <mergeCell ref="B1100:C1100"/>
    <mergeCell ref="B1101:C1101"/>
    <mergeCell ref="B1104:C1104"/>
    <mergeCell ref="B1105:C1105"/>
    <mergeCell ref="B1092:C1092"/>
    <mergeCell ref="B1093:C1093"/>
    <mergeCell ref="B1094:C1094"/>
    <mergeCell ref="B1095:C1095"/>
    <mergeCell ref="B1096:C1096"/>
    <mergeCell ref="B1097:C1097"/>
    <mergeCell ref="B1085:C1085"/>
    <mergeCell ref="B1087:C1087"/>
    <mergeCell ref="B1088:C1088"/>
    <mergeCell ref="B1089:C1089"/>
    <mergeCell ref="B1090:C1090"/>
    <mergeCell ref="B1091:C1091"/>
    <mergeCell ref="B1079:C1079"/>
    <mergeCell ref="B1080:C1080"/>
    <mergeCell ref="B1081:C1081"/>
    <mergeCell ref="B1082:C1082"/>
    <mergeCell ref="B1083:C1083"/>
    <mergeCell ref="B1084:C1084"/>
    <mergeCell ref="B1073:C1073"/>
    <mergeCell ref="B1074:C1074"/>
    <mergeCell ref="B1075:C1075"/>
    <mergeCell ref="B1076:C1076"/>
    <mergeCell ref="B1077:C1077"/>
    <mergeCell ref="B1078:C1078"/>
    <mergeCell ref="B1066:C1066"/>
    <mergeCell ref="B1067:C1067"/>
    <mergeCell ref="B1068:C1068"/>
    <mergeCell ref="B1069:C1069"/>
    <mergeCell ref="B1071:C1071"/>
    <mergeCell ref="B1072:C1072"/>
    <mergeCell ref="B1060:C1060"/>
    <mergeCell ref="B1061:C1061"/>
    <mergeCell ref="B1062:C1062"/>
    <mergeCell ref="B1063:C1063"/>
    <mergeCell ref="B1064:C1064"/>
    <mergeCell ref="B1065:C1065"/>
    <mergeCell ref="B1054:C1054"/>
    <mergeCell ref="B1055:C1055"/>
    <mergeCell ref="B1056:C1056"/>
    <mergeCell ref="B1057:C1057"/>
    <mergeCell ref="B1058:C1058"/>
    <mergeCell ref="B1059:C1059"/>
    <mergeCell ref="B1047:C1047"/>
    <mergeCell ref="B1048:C1048"/>
    <mergeCell ref="B1049:C1049"/>
    <mergeCell ref="B1050:C1050"/>
    <mergeCell ref="B1051:C1051"/>
    <mergeCell ref="B1052:C1052"/>
    <mergeCell ref="B1041:C1041"/>
    <mergeCell ref="B1042:C1042"/>
    <mergeCell ref="B1043:C1043"/>
    <mergeCell ref="B1044:C1044"/>
    <mergeCell ref="B1045:C1045"/>
    <mergeCell ref="B1046:C1046"/>
    <mergeCell ref="B1034:C1034"/>
    <mergeCell ref="B1035:C1035"/>
    <mergeCell ref="B1036:C1036"/>
    <mergeCell ref="B1038:C1038"/>
    <mergeCell ref="B1039:C1039"/>
    <mergeCell ref="B1040:C1040"/>
    <mergeCell ref="B1028:C1028"/>
    <mergeCell ref="B1029:C1029"/>
    <mergeCell ref="B1030:C1030"/>
    <mergeCell ref="B1031:C1031"/>
    <mergeCell ref="B1032:C1032"/>
    <mergeCell ref="B1033:C1033"/>
    <mergeCell ref="B1022:C1022"/>
    <mergeCell ref="B1023:C1023"/>
    <mergeCell ref="B1024:C1024"/>
    <mergeCell ref="B1025:C1025"/>
    <mergeCell ref="B1026:C1026"/>
    <mergeCell ref="B1027:C1027"/>
    <mergeCell ref="B1015:C1015"/>
    <mergeCell ref="B1016:C1016"/>
    <mergeCell ref="B1017:C1017"/>
    <mergeCell ref="B1018:C1018"/>
    <mergeCell ref="B1019:C1019"/>
    <mergeCell ref="B1020:C1020"/>
    <mergeCell ref="B1009:C1009"/>
    <mergeCell ref="B1010:C1010"/>
    <mergeCell ref="B1011:C1011"/>
    <mergeCell ref="B1012:C1012"/>
    <mergeCell ref="B1013:C1013"/>
    <mergeCell ref="B1014:C1014"/>
    <mergeCell ref="B1002:C1002"/>
    <mergeCell ref="B1003:C1003"/>
    <mergeCell ref="B1004:C1004"/>
    <mergeCell ref="B1006:C1006"/>
    <mergeCell ref="B1007:C1007"/>
    <mergeCell ref="B1008:C1008"/>
    <mergeCell ref="B996:C996"/>
    <mergeCell ref="B997:C997"/>
    <mergeCell ref="B998:C998"/>
    <mergeCell ref="B999:C999"/>
    <mergeCell ref="B1000:C1000"/>
    <mergeCell ref="B1001:C1001"/>
    <mergeCell ref="B990:C990"/>
    <mergeCell ref="B991:C991"/>
    <mergeCell ref="B992:C992"/>
    <mergeCell ref="B993:C993"/>
    <mergeCell ref="B994:C994"/>
    <mergeCell ref="B995:C995"/>
    <mergeCell ref="B982:C982"/>
    <mergeCell ref="B983:C983"/>
    <mergeCell ref="B984:C984"/>
    <mergeCell ref="B985:C985"/>
    <mergeCell ref="B986:C986"/>
    <mergeCell ref="B987:C987"/>
    <mergeCell ref="B976:C976"/>
    <mergeCell ref="B977:C977"/>
    <mergeCell ref="B978:C978"/>
    <mergeCell ref="B979:C979"/>
    <mergeCell ref="B980:C980"/>
    <mergeCell ref="B981:C981"/>
    <mergeCell ref="B969:C969"/>
    <mergeCell ref="B970:C970"/>
    <mergeCell ref="B971:C971"/>
    <mergeCell ref="B972:C972"/>
    <mergeCell ref="B974:C974"/>
    <mergeCell ref="B975:C975"/>
    <mergeCell ref="B963:C963"/>
    <mergeCell ref="B964:C964"/>
    <mergeCell ref="B965:C965"/>
    <mergeCell ref="B966:C966"/>
    <mergeCell ref="B967:C967"/>
    <mergeCell ref="B968:C968"/>
    <mergeCell ref="B956:C956"/>
    <mergeCell ref="B957:C957"/>
    <mergeCell ref="B959:C959"/>
    <mergeCell ref="B960:C960"/>
    <mergeCell ref="B961:C961"/>
    <mergeCell ref="B962:C962"/>
    <mergeCell ref="B950:C950"/>
    <mergeCell ref="B951:C951"/>
    <mergeCell ref="B952:C952"/>
    <mergeCell ref="B953:C953"/>
    <mergeCell ref="B954:C954"/>
    <mergeCell ref="B955:C955"/>
    <mergeCell ref="B944:C944"/>
    <mergeCell ref="B945:C945"/>
    <mergeCell ref="B946:C946"/>
    <mergeCell ref="B947:C947"/>
    <mergeCell ref="B948:C948"/>
    <mergeCell ref="B949:C949"/>
    <mergeCell ref="B937:C937"/>
    <mergeCell ref="B938:C938"/>
    <mergeCell ref="B939:C939"/>
    <mergeCell ref="B940:C940"/>
    <mergeCell ref="B941:C941"/>
    <mergeCell ref="B942:C942"/>
    <mergeCell ref="B931:C931"/>
    <mergeCell ref="B932:C932"/>
    <mergeCell ref="B933:C933"/>
    <mergeCell ref="B934:C934"/>
    <mergeCell ref="B935:C935"/>
    <mergeCell ref="B936:C936"/>
    <mergeCell ref="B924:C924"/>
    <mergeCell ref="B925:C925"/>
    <mergeCell ref="B926:C926"/>
    <mergeCell ref="B928:C928"/>
    <mergeCell ref="B929:C929"/>
    <mergeCell ref="B930:C930"/>
    <mergeCell ref="B918:C918"/>
    <mergeCell ref="B919:C919"/>
    <mergeCell ref="B920:C920"/>
    <mergeCell ref="B921:C921"/>
    <mergeCell ref="B922:C922"/>
    <mergeCell ref="B923:C923"/>
    <mergeCell ref="B912:C912"/>
    <mergeCell ref="B913:C913"/>
    <mergeCell ref="B914:C914"/>
    <mergeCell ref="B915:C915"/>
    <mergeCell ref="B916:C916"/>
    <mergeCell ref="B917:C917"/>
    <mergeCell ref="B904:C904"/>
    <mergeCell ref="B905:C905"/>
    <mergeCell ref="B906:C906"/>
    <mergeCell ref="B907:C907"/>
    <mergeCell ref="B908:C908"/>
    <mergeCell ref="B909:C909"/>
    <mergeCell ref="B898:C898"/>
    <mergeCell ref="B899:C899"/>
    <mergeCell ref="B900:C900"/>
    <mergeCell ref="B901:C901"/>
    <mergeCell ref="B902:C902"/>
    <mergeCell ref="B903:C903"/>
    <mergeCell ref="B891:C891"/>
    <mergeCell ref="B892:C892"/>
    <mergeCell ref="B893:C893"/>
    <mergeCell ref="B894:C894"/>
    <mergeCell ref="B896:C896"/>
    <mergeCell ref="B897:C897"/>
    <mergeCell ref="B885:C885"/>
    <mergeCell ref="B886:C886"/>
    <mergeCell ref="B887:C887"/>
    <mergeCell ref="B888:C888"/>
    <mergeCell ref="B889:C889"/>
    <mergeCell ref="B890:C890"/>
    <mergeCell ref="B878:C878"/>
    <mergeCell ref="B879:C879"/>
    <mergeCell ref="B881:C881"/>
    <mergeCell ref="B882:C882"/>
    <mergeCell ref="B883:C883"/>
    <mergeCell ref="B884:C884"/>
    <mergeCell ref="B872:C872"/>
    <mergeCell ref="B873:C873"/>
    <mergeCell ref="B874:C874"/>
    <mergeCell ref="B875:C875"/>
    <mergeCell ref="B876:C876"/>
    <mergeCell ref="B877:C877"/>
    <mergeCell ref="B866:C866"/>
    <mergeCell ref="B867:C867"/>
    <mergeCell ref="B868:C868"/>
    <mergeCell ref="B869:C869"/>
    <mergeCell ref="B870:C870"/>
    <mergeCell ref="B871:C871"/>
    <mergeCell ref="B859:C859"/>
    <mergeCell ref="B860:C860"/>
    <mergeCell ref="B861:C861"/>
    <mergeCell ref="B863:C863"/>
    <mergeCell ref="B864:C864"/>
    <mergeCell ref="B865:C865"/>
    <mergeCell ref="B853:C853"/>
    <mergeCell ref="B854:C854"/>
    <mergeCell ref="B855:C855"/>
    <mergeCell ref="B856:C856"/>
    <mergeCell ref="B857:C857"/>
    <mergeCell ref="B858:C858"/>
    <mergeCell ref="B845:C845"/>
    <mergeCell ref="B848:C848"/>
    <mergeCell ref="B849:C849"/>
    <mergeCell ref="B850:C850"/>
    <mergeCell ref="B851:C851"/>
    <mergeCell ref="B852:C852"/>
    <mergeCell ref="B839:C839"/>
    <mergeCell ref="B840:C840"/>
    <mergeCell ref="B841:C841"/>
    <mergeCell ref="B842:C842"/>
    <mergeCell ref="B843:C843"/>
    <mergeCell ref="B844:C844"/>
    <mergeCell ref="B833:C833"/>
    <mergeCell ref="B834:C834"/>
    <mergeCell ref="B835:C835"/>
    <mergeCell ref="B836:C836"/>
    <mergeCell ref="B837:C837"/>
    <mergeCell ref="B838:C838"/>
    <mergeCell ref="B826:C826"/>
    <mergeCell ref="B827:C827"/>
    <mergeCell ref="B828:C828"/>
    <mergeCell ref="B829:C829"/>
    <mergeCell ref="B830:C830"/>
    <mergeCell ref="B832:C832"/>
    <mergeCell ref="B820:C820"/>
    <mergeCell ref="B821:C821"/>
    <mergeCell ref="B822:C822"/>
    <mergeCell ref="B823:C823"/>
    <mergeCell ref="B824:C824"/>
    <mergeCell ref="B825:C825"/>
    <mergeCell ref="B813:C813"/>
    <mergeCell ref="B814:C814"/>
    <mergeCell ref="B815:C815"/>
    <mergeCell ref="B817:C817"/>
    <mergeCell ref="B818:C818"/>
    <mergeCell ref="B819:C819"/>
    <mergeCell ref="B807:C807"/>
    <mergeCell ref="B808:C808"/>
    <mergeCell ref="B809:C809"/>
    <mergeCell ref="B810:C810"/>
    <mergeCell ref="B811:C811"/>
    <mergeCell ref="B812:C812"/>
    <mergeCell ref="B801:C801"/>
    <mergeCell ref="B802:C802"/>
    <mergeCell ref="B803:C803"/>
    <mergeCell ref="B804:C804"/>
    <mergeCell ref="B805:C805"/>
    <mergeCell ref="B806:C806"/>
    <mergeCell ref="B794:C794"/>
    <mergeCell ref="B795:C795"/>
    <mergeCell ref="B796:C796"/>
    <mergeCell ref="B797:C797"/>
    <mergeCell ref="B798:C798"/>
    <mergeCell ref="B799:C799"/>
    <mergeCell ref="B788:C788"/>
    <mergeCell ref="B789:C789"/>
    <mergeCell ref="B790:C790"/>
    <mergeCell ref="B791:C791"/>
    <mergeCell ref="B792:C792"/>
    <mergeCell ref="B793:C793"/>
    <mergeCell ref="B781:C781"/>
    <mergeCell ref="B782:C782"/>
    <mergeCell ref="B783:C783"/>
    <mergeCell ref="B784:C784"/>
    <mergeCell ref="B786:C786"/>
    <mergeCell ref="B787:C787"/>
    <mergeCell ref="B775:C775"/>
    <mergeCell ref="B776:C776"/>
    <mergeCell ref="B777:C777"/>
    <mergeCell ref="B778:C778"/>
    <mergeCell ref="B779:C779"/>
    <mergeCell ref="B780:C780"/>
    <mergeCell ref="B768:C768"/>
    <mergeCell ref="B769:C769"/>
    <mergeCell ref="B771:C771"/>
    <mergeCell ref="B772:C772"/>
    <mergeCell ref="B773:C773"/>
    <mergeCell ref="B774:C774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49:C749"/>
    <mergeCell ref="B750:C750"/>
    <mergeCell ref="B751:C751"/>
    <mergeCell ref="B752:C752"/>
    <mergeCell ref="B753:C753"/>
    <mergeCell ref="B754:C754"/>
    <mergeCell ref="B743:C743"/>
    <mergeCell ref="B744:C744"/>
    <mergeCell ref="B745:C745"/>
    <mergeCell ref="B746:C746"/>
    <mergeCell ref="B747:C747"/>
    <mergeCell ref="B748:C748"/>
    <mergeCell ref="B736:C736"/>
    <mergeCell ref="B737:C737"/>
    <mergeCell ref="B738:C738"/>
    <mergeCell ref="B740:C740"/>
    <mergeCell ref="B741:C741"/>
    <mergeCell ref="B742:C742"/>
    <mergeCell ref="B730:C730"/>
    <mergeCell ref="B731:C731"/>
    <mergeCell ref="B732:C732"/>
    <mergeCell ref="B733:C733"/>
    <mergeCell ref="B734:C734"/>
    <mergeCell ref="B735:C735"/>
    <mergeCell ref="B724:C724"/>
    <mergeCell ref="B725:C725"/>
    <mergeCell ref="B726:C726"/>
    <mergeCell ref="B727:C727"/>
    <mergeCell ref="B728:C728"/>
    <mergeCell ref="B729:C729"/>
    <mergeCell ref="B717:C717"/>
    <mergeCell ref="B718:C718"/>
    <mergeCell ref="B719:C719"/>
    <mergeCell ref="B720:C720"/>
    <mergeCell ref="B721:C721"/>
    <mergeCell ref="B722:C722"/>
    <mergeCell ref="B711:C711"/>
    <mergeCell ref="B712:C712"/>
    <mergeCell ref="B713:C713"/>
    <mergeCell ref="B714:C714"/>
    <mergeCell ref="B715:C715"/>
    <mergeCell ref="B716:C716"/>
    <mergeCell ref="B704:C704"/>
    <mergeCell ref="B705:C705"/>
    <mergeCell ref="B706:C706"/>
    <mergeCell ref="B707:C707"/>
    <mergeCell ref="B709:C709"/>
    <mergeCell ref="B710:C710"/>
    <mergeCell ref="B698:C698"/>
    <mergeCell ref="B699:C699"/>
    <mergeCell ref="B700:C700"/>
    <mergeCell ref="B701:C701"/>
    <mergeCell ref="B702:C702"/>
    <mergeCell ref="B703:C703"/>
    <mergeCell ref="B691:C691"/>
    <mergeCell ref="B692:C692"/>
    <mergeCell ref="B694:C694"/>
    <mergeCell ref="B695:C695"/>
    <mergeCell ref="B696:C696"/>
    <mergeCell ref="B697:C697"/>
    <mergeCell ref="B685:C685"/>
    <mergeCell ref="B686:C686"/>
    <mergeCell ref="B687:C687"/>
    <mergeCell ref="B688:C688"/>
    <mergeCell ref="B689:C689"/>
    <mergeCell ref="B690:C690"/>
    <mergeCell ref="B679:C679"/>
    <mergeCell ref="B680:C680"/>
    <mergeCell ref="B681:C681"/>
    <mergeCell ref="B682:C682"/>
    <mergeCell ref="B683:C683"/>
    <mergeCell ref="B684:C684"/>
    <mergeCell ref="B671:C671"/>
    <mergeCell ref="B672:C672"/>
    <mergeCell ref="B673:C673"/>
    <mergeCell ref="B674:C674"/>
    <mergeCell ref="B677:C677"/>
    <mergeCell ref="B678:C678"/>
    <mergeCell ref="B665:C665"/>
    <mergeCell ref="B666:C666"/>
    <mergeCell ref="B667:C667"/>
    <mergeCell ref="B668:C668"/>
    <mergeCell ref="B669:C669"/>
    <mergeCell ref="B670:C670"/>
    <mergeCell ref="B658:C658"/>
    <mergeCell ref="B659:C659"/>
    <mergeCell ref="B661:C661"/>
    <mergeCell ref="B662:C662"/>
    <mergeCell ref="B663:C663"/>
    <mergeCell ref="B664:C664"/>
    <mergeCell ref="B652:C652"/>
    <mergeCell ref="B653:C653"/>
    <mergeCell ref="B654:C654"/>
    <mergeCell ref="B655:C655"/>
    <mergeCell ref="B656:C656"/>
    <mergeCell ref="B657:C657"/>
    <mergeCell ref="B646:C646"/>
    <mergeCell ref="B647:C647"/>
    <mergeCell ref="B648:C648"/>
    <mergeCell ref="B649:C649"/>
    <mergeCell ref="B650:C650"/>
    <mergeCell ref="B651:C651"/>
    <mergeCell ref="B639:C639"/>
    <mergeCell ref="B640:C640"/>
    <mergeCell ref="B641:C641"/>
    <mergeCell ref="B642:C642"/>
    <mergeCell ref="B644:C644"/>
    <mergeCell ref="B645:C645"/>
    <mergeCell ref="B633:C633"/>
    <mergeCell ref="B634:C634"/>
    <mergeCell ref="B635:C635"/>
    <mergeCell ref="B636:C636"/>
    <mergeCell ref="B637:C637"/>
    <mergeCell ref="B638:C638"/>
    <mergeCell ref="B626:C626"/>
    <mergeCell ref="B627:C627"/>
    <mergeCell ref="B629:C629"/>
    <mergeCell ref="B630:C630"/>
    <mergeCell ref="B631:C631"/>
    <mergeCell ref="B632:C632"/>
    <mergeCell ref="B620:C620"/>
    <mergeCell ref="B621:C621"/>
    <mergeCell ref="B622:C622"/>
    <mergeCell ref="B623:C623"/>
    <mergeCell ref="B624:C624"/>
    <mergeCell ref="B625:C625"/>
    <mergeCell ref="B614:C614"/>
    <mergeCell ref="B615:C615"/>
    <mergeCell ref="B616:C616"/>
    <mergeCell ref="B617:C617"/>
    <mergeCell ref="B618:C618"/>
    <mergeCell ref="B619:C619"/>
    <mergeCell ref="B607:C607"/>
    <mergeCell ref="B608:C608"/>
    <mergeCell ref="B609:C609"/>
    <mergeCell ref="B610:C610"/>
    <mergeCell ref="B611:C611"/>
    <mergeCell ref="B612:C612"/>
    <mergeCell ref="B601:C601"/>
    <mergeCell ref="B602:C602"/>
    <mergeCell ref="B603:C603"/>
    <mergeCell ref="B604:C604"/>
    <mergeCell ref="B605:C605"/>
    <mergeCell ref="B606:C606"/>
    <mergeCell ref="B594:C594"/>
    <mergeCell ref="B595:C595"/>
    <mergeCell ref="B596:C596"/>
    <mergeCell ref="B597:C597"/>
    <mergeCell ref="B599:C599"/>
    <mergeCell ref="B600:C600"/>
    <mergeCell ref="B588:C588"/>
    <mergeCell ref="B589:C589"/>
    <mergeCell ref="B590:C590"/>
    <mergeCell ref="B591:C591"/>
    <mergeCell ref="B592:C592"/>
    <mergeCell ref="B593:C593"/>
    <mergeCell ref="B581:C581"/>
    <mergeCell ref="B582:C582"/>
    <mergeCell ref="B584:C584"/>
    <mergeCell ref="B585:C585"/>
    <mergeCell ref="B586:C586"/>
    <mergeCell ref="B587:C587"/>
    <mergeCell ref="B575:C575"/>
    <mergeCell ref="B576:C576"/>
    <mergeCell ref="B577:C577"/>
    <mergeCell ref="B578:C578"/>
    <mergeCell ref="B579:C579"/>
    <mergeCell ref="B580:C580"/>
    <mergeCell ref="B569:C569"/>
    <mergeCell ref="B570:C570"/>
    <mergeCell ref="B571:C571"/>
    <mergeCell ref="B572:C572"/>
    <mergeCell ref="B573:C573"/>
    <mergeCell ref="B574:C574"/>
    <mergeCell ref="B562:C562"/>
    <mergeCell ref="B563:C563"/>
    <mergeCell ref="B564:C564"/>
    <mergeCell ref="B565:C565"/>
    <mergeCell ref="B566:C566"/>
    <mergeCell ref="B567:C567"/>
    <mergeCell ref="B556:C556"/>
    <mergeCell ref="B557:C557"/>
    <mergeCell ref="B558:C558"/>
    <mergeCell ref="B559:C559"/>
    <mergeCell ref="B560:C560"/>
    <mergeCell ref="B561:C561"/>
    <mergeCell ref="B548:C548"/>
    <mergeCell ref="B549:C549"/>
    <mergeCell ref="B550:C550"/>
    <mergeCell ref="B551:C551"/>
    <mergeCell ref="B554:C554"/>
    <mergeCell ref="B555:C555"/>
    <mergeCell ref="B542:C542"/>
    <mergeCell ref="B543:C543"/>
    <mergeCell ref="B544:C544"/>
    <mergeCell ref="B545:C545"/>
    <mergeCell ref="B546:C546"/>
    <mergeCell ref="B547:C547"/>
    <mergeCell ref="B535:C535"/>
    <mergeCell ref="B536:C536"/>
    <mergeCell ref="B538:C538"/>
    <mergeCell ref="B539:C539"/>
    <mergeCell ref="B540:C540"/>
    <mergeCell ref="B541:C541"/>
    <mergeCell ref="B529:C529"/>
    <mergeCell ref="B530:C530"/>
    <mergeCell ref="B531:C531"/>
    <mergeCell ref="B532:C532"/>
    <mergeCell ref="B533:C533"/>
    <mergeCell ref="B534:C534"/>
    <mergeCell ref="B523:C523"/>
    <mergeCell ref="B524:C524"/>
    <mergeCell ref="B525:C525"/>
    <mergeCell ref="B526:C526"/>
    <mergeCell ref="B527:C527"/>
    <mergeCell ref="B528:C528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3:C503"/>
    <mergeCell ref="B504:C504"/>
    <mergeCell ref="B505:C505"/>
    <mergeCell ref="B507:C507"/>
    <mergeCell ref="B508:C508"/>
    <mergeCell ref="B509:C509"/>
    <mergeCell ref="B497:C497"/>
    <mergeCell ref="B498:C498"/>
    <mergeCell ref="B499:C499"/>
    <mergeCell ref="B500:C500"/>
    <mergeCell ref="B501:C501"/>
    <mergeCell ref="B502:C502"/>
    <mergeCell ref="B490:C490"/>
    <mergeCell ref="B492:C492"/>
    <mergeCell ref="B493:C493"/>
    <mergeCell ref="B494:C494"/>
    <mergeCell ref="B495:C495"/>
    <mergeCell ref="B496:C496"/>
    <mergeCell ref="B484:C484"/>
    <mergeCell ref="B485:C485"/>
    <mergeCell ref="B486:C486"/>
    <mergeCell ref="B487:C487"/>
    <mergeCell ref="B488:C488"/>
    <mergeCell ref="B489:C489"/>
    <mergeCell ref="B478:C478"/>
    <mergeCell ref="B479:C479"/>
    <mergeCell ref="B480:C480"/>
    <mergeCell ref="B481:C481"/>
    <mergeCell ref="B482:C482"/>
    <mergeCell ref="B483:C483"/>
    <mergeCell ref="B471:C471"/>
    <mergeCell ref="B472:C472"/>
    <mergeCell ref="B473:C473"/>
    <mergeCell ref="B474:C474"/>
    <mergeCell ref="B475:C475"/>
    <mergeCell ref="B477:C477"/>
    <mergeCell ref="B465:C465"/>
    <mergeCell ref="B466:C466"/>
    <mergeCell ref="B467:C467"/>
    <mergeCell ref="B468:C468"/>
    <mergeCell ref="B469:C469"/>
    <mergeCell ref="B470:C470"/>
    <mergeCell ref="B458:C458"/>
    <mergeCell ref="B459:C459"/>
    <mergeCell ref="B461:C461"/>
    <mergeCell ref="B462:C462"/>
    <mergeCell ref="B463:C463"/>
    <mergeCell ref="B464:C464"/>
    <mergeCell ref="B452:C452"/>
    <mergeCell ref="B453:C453"/>
    <mergeCell ref="B454:C454"/>
    <mergeCell ref="B455:C455"/>
    <mergeCell ref="B456:C456"/>
    <mergeCell ref="B457:C457"/>
    <mergeCell ref="B446:C446"/>
    <mergeCell ref="B447:C447"/>
    <mergeCell ref="B448:C448"/>
    <mergeCell ref="B449:C449"/>
    <mergeCell ref="B450:C450"/>
    <mergeCell ref="B451:C451"/>
    <mergeCell ref="B439:C439"/>
    <mergeCell ref="B440:C440"/>
    <mergeCell ref="B441:C441"/>
    <mergeCell ref="B442:C442"/>
    <mergeCell ref="B443:C443"/>
    <mergeCell ref="B444:C444"/>
    <mergeCell ref="B433:C433"/>
    <mergeCell ref="B434:C434"/>
    <mergeCell ref="B435:C435"/>
    <mergeCell ref="B436:C436"/>
    <mergeCell ref="B437:C437"/>
    <mergeCell ref="B438:C438"/>
    <mergeCell ref="B425:C425"/>
    <mergeCell ref="B426:C426"/>
    <mergeCell ref="B427:C427"/>
    <mergeCell ref="B428:C428"/>
    <mergeCell ref="B431:C431"/>
    <mergeCell ref="B432:C432"/>
    <mergeCell ref="B419:C419"/>
    <mergeCell ref="B420:C420"/>
    <mergeCell ref="B421:C421"/>
    <mergeCell ref="B422:C422"/>
    <mergeCell ref="B423:C423"/>
    <mergeCell ref="B424:C424"/>
    <mergeCell ref="B412:C412"/>
    <mergeCell ref="B414:C414"/>
    <mergeCell ref="B415:C415"/>
    <mergeCell ref="B416:C416"/>
    <mergeCell ref="B417:C417"/>
    <mergeCell ref="B418:C418"/>
    <mergeCell ref="B406:C406"/>
    <mergeCell ref="B407:C407"/>
    <mergeCell ref="B408:C408"/>
    <mergeCell ref="B409:C409"/>
    <mergeCell ref="B410:C410"/>
    <mergeCell ref="B411:C411"/>
    <mergeCell ref="B400:C400"/>
    <mergeCell ref="B401:C401"/>
    <mergeCell ref="B402:C402"/>
    <mergeCell ref="B403:C403"/>
    <mergeCell ref="B404:C404"/>
    <mergeCell ref="B405:C405"/>
    <mergeCell ref="B393:C393"/>
    <mergeCell ref="B394:C394"/>
    <mergeCell ref="B395:C395"/>
    <mergeCell ref="B397:C397"/>
    <mergeCell ref="B398:C398"/>
    <mergeCell ref="B399:C399"/>
    <mergeCell ref="B387:C387"/>
    <mergeCell ref="B388:C388"/>
    <mergeCell ref="B389:C389"/>
    <mergeCell ref="B390:C390"/>
    <mergeCell ref="B391:C391"/>
    <mergeCell ref="B392:C392"/>
    <mergeCell ref="B381:C381"/>
    <mergeCell ref="B382:C382"/>
    <mergeCell ref="B383:C383"/>
    <mergeCell ref="B384:C384"/>
    <mergeCell ref="B385:C385"/>
    <mergeCell ref="B386:C386"/>
    <mergeCell ref="B374:C374"/>
    <mergeCell ref="B375:C375"/>
    <mergeCell ref="B376:C376"/>
    <mergeCell ref="B377:C377"/>
    <mergeCell ref="B378:C378"/>
    <mergeCell ref="B379:C379"/>
    <mergeCell ref="B368:C368"/>
    <mergeCell ref="B369:C369"/>
    <mergeCell ref="B370:C370"/>
    <mergeCell ref="B371:C371"/>
    <mergeCell ref="B372:C372"/>
    <mergeCell ref="B373:C373"/>
    <mergeCell ref="B361:C361"/>
    <mergeCell ref="B362:C362"/>
    <mergeCell ref="B363:C363"/>
    <mergeCell ref="B365:C365"/>
    <mergeCell ref="B366:C366"/>
    <mergeCell ref="B367:C367"/>
    <mergeCell ref="B355:C355"/>
    <mergeCell ref="B356:C356"/>
    <mergeCell ref="B357:C357"/>
    <mergeCell ref="B358:C358"/>
    <mergeCell ref="B359:C359"/>
    <mergeCell ref="B360:C360"/>
    <mergeCell ref="B349:C349"/>
    <mergeCell ref="B350:C350"/>
    <mergeCell ref="B351:C351"/>
    <mergeCell ref="B352:C352"/>
    <mergeCell ref="B353:C353"/>
    <mergeCell ref="B354:C354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29:C329"/>
    <mergeCell ref="B330:C330"/>
    <mergeCell ref="B331:C331"/>
    <mergeCell ref="B333:C333"/>
    <mergeCell ref="B334:C334"/>
    <mergeCell ref="B335:C335"/>
    <mergeCell ref="B323:C323"/>
    <mergeCell ref="B324:C324"/>
    <mergeCell ref="B325:C325"/>
    <mergeCell ref="B326:C326"/>
    <mergeCell ref="B327:C327"/>
    <mergeCell ref="B328:C328"/>
    <mergeCell ref="B317:C317"/>
    <mergeCell ref="B318:C318"/>
    <mergeCell ref="B319:C319"/>
    <mergeCell ref="B320:C320"/>
    <mergeCell ref="B321:C321"/>
    <mergeCell ref="B322:C322"/>
    <mergeCell ref="B310:C310"/>
    <mergeCell ref="B311:C311"/>
    <mergeCell ref="B312:C312"/>
    <mergeCell ref="B313:C313"/>
    <mergeCell ref="B314:C314"/>
    <mergeCell ref="B315:C315"/>
    <mergeCell ref="B304:C304"/>
    <mergeCell ref="B305:C305"/>
    <mergeCell ref="B306:C306"/>
    <mergeCell ref="B307:C307"/>
    <mergeCell ref="B308:C308"/>
    <mergeCell ref="B309:C309"/>
    <mergeCell ref="B296:C296"/>
    <mergeCell ref="B297:C297"/>
    <mergeCell ref="B298:C298"/>
    <mergeCell ref="B301:C301"/>
    <mergeCell ref="B302:C302"/>
    <mergeCell ref="B303:C303"/>
    <mergeCell ref="B290:C290"/>
    <mergeCell ref="B291:C291"/>
    <mergeCell ref="B292:C292"/>
    <mergeCell ref="B293:C293"/>
    <mergeCell ref="B294:C294"/>
    <mergeCell ref="B295:C295"/>
    <mergeCell ref="B284:C284"/>
    <mergeCell ref="B285:C285"/>
    <mergeCell ref="B286:C286"/>
    <mergeCell ref="B287:C287"/>
    <mergeCell ref="B288:C288"/>
    <mergeCell ref="B289:C289"/>
    <mergeCell ref="B277:C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4:C264"/>
    <mergeCell ref="B265:C265"/>
    <mergeCell ref="B266:C266"/>
    <mergeCell ref="B268:C268"/>
    <mergeCell ref="B269:C269"/>
    <mergeCell ref="B270:C270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5:C245"/>
    <mergeCell ref="B246:C246"/>
    <mergeCell ref="B247:C247"/>
    <mergeCell ref="B248:C248"/>
    <mergeCell ref="B249:C249"/>
    <mergeCell ref="B251:C251"/>
    <mergeCell ref="B239:C239"/>
    <mergeCell ref="B240:C240"/>
    <mergeCell ref="B241:C241"/>
    <mergeCell ref="B242:C242"/>
    <mergeCell ref="B243:C243"/>
    <mergeCell ref="B244:C244"/>
    <mergeCell ref="B232:C232"/>
    <mergeCell ref="B233:C233"/>
    <mergeCell ref="B234:C234"/>
    <mergeCell ref="B236:C236"/>
    <mergeCell ref="B237:C237"/>
    <mergeCell ref="B238:C238"/>
    <mergeCell ref="B226:C226"/>
    <mergeCell ref="B227:C227"/>
    <mergeCell ref="B228:C228"/>
    <mergeCell ref="B229:C229"/>
    <mergeCell ref="B230:C230"/>
    <mergeCell ref="B231:C231"/>
    <mergeCell ref="B218:C218"/>
    <mergeCell ref="B221:C221"/>
    <mergeCell ref="B222:C222"/>
    <mergeCell ref="B223:C223"/>
    <mergeCell ref="B224:C224"/>
    <mergeCell ref="B225:C225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199:C199"/>
    <mergeCell ref="B200:C200"/>
    <mergeCell ref="B201:C201"/>
    <mergeCell ref="B202:C202"/>
    <mergeCell ref="B203:C203"/>
    <mergeCell ref="B205:C205"/>
    <mergeCell ref="B193:C193"/>
    <mergeCell ref="B194:C194"/>
    <mergeCell ref="B195:C195"/>
    <mergeCell ref="B196:C196"/>
    <mergeCell ref="B197:C197"/>
    <mergeCell ref="B198:C198"/>
    <mergeCell ref="B185:C185"/>
    <mergeCell ref="B186:C186"/>
    <mergeCell ref="B189:C189"/>
    <mergeCell ref="B190:C190"/>
    <mergeCell ref="B191:C191"/>
    <mergeCell ref="B192:C192"/>
    <mergeCell ref="B179:C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66:C166"/>
    <mergeCell ref="B167:C167"/>
    <mergeCell ref="B168:C168"/>
    <mergeCell ref="B169:C169"/>
    <mergeCell ref="B170:C170"/>
    <mergeCell ref="B171:C171"/>
    <mergeCell ref="B160:C160"/>
    <mergeCell ref="B161:C161"/>
    <mergeCell ref="B162:C162"/>
    <mergeCell ref="B163:C163"/>
    <mergeCell ref="B164:C164"/>
    <mergeCell ref="B165:C165"/>
    <mergeCell ref="B153:C153"/>
    <mergeCell ref="B154:C154"/>
    <mergeCell ref="B155:C155"/>
    <mergeCell ref="B157:C157"/>
    <mergeCell ref="B158:C158"/>
    <mergeCell ref="B159:C159"/>
    <mergeCell ref="B147:C147"/>
    <mergeCell ref="B148:C148"/>
    <mergeCell ref="B149:C149"/>
    <mergeCell ref="B150:C150"/>
    <mergeCell ref="B151:C151"/>
    <mergeCell ref="B152:C152"/>
    <mergeCell ref="B139:C139"/>
    <mergeCell ref="B142:C142"/>
    <mergeCell ref="B143:C143"/>
    <mergeCell ref="B144:C144"/>
    <mergeCell ref="B145:C145"/>
    <mergeCell ref="B146:C146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20:C120"/>
    <mergeCell ref="B121:C121"/>
    <mergeCell ref="B122:C122"/>
    <mergeCell ref="B124:C124"/>
    <mergeCell ref="B125:C125"/>
    <mergeCell ref="B126:C126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8:C88"/>
    <mergeCell ref="B89:C89"/>
    <mergeCell ref="B90:C90"/>
    <mergeCell ref="B92:C92"/>
    <mergeCell ref="B93:C93"/>
    <mergeCell ref="B94:C94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60:C60"/>
    <mergeCell ref="B61:C61"/>
    <mergeCell ref="B62:C62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7:C37"/>
    <mergeCell ref="B38:C38"/>
    <mergeCell ref="B39:C39"/>
    <mergeCell ref="B40:C40"/>
    <mergeCell ref="B41:C41"/>
    <mergeCell ref="B43:C43"/>
    <mergeCell ref="B31:C31"/>
    <mergeCell ref="B32:C32"/>
    <mergeCell ref="B33:C33"/>
    <mergeCell ref="B34:C34"/>
    <mergeCell ref="B35:C35"/>
    <mergeCell ref="B36:C36"/>
    <mergeCell ref="B24:C24"/>
    <mergeCell ref="B25:C25"/>
    <mergeCell ref="B27:C27"/>
    <mergeCell ref="B28:C28"/>
    <mergeCell ref="B29:C29"/>
    <mergeCell ref="B30:C30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B5:C5"/>
    <mergeCell ref="B10:C10"/>
    <mergeCell ref="B11:C11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D12" sqref="D12"/>
    </sheetView>
  </sheetViews>
  <sheetFormatPr defaultRowHeight="24.95" customHeight="1"/>
  <cols>
    <col min="1" max="1" width="7.75" style="908" customWidth="1"/>
    <col min="2" max="2" width="33.875" style="23" customWidth="1"/>
    <col min="3" max="3" width="16" style="23" customWidth="1"/>
    <col min="4" max="4" width="15.875" style="910" customWidth="1"/>
    <col min="5" max="5" width="16" style="910" customWidth="1"/>
    <col min="6" max="6" width="8.75" style="383" customWidth="1"/>
    <col min="7" max="7" width="9" style="387"/>
    <col min="8" max="256" width="9" style="23"/>
    <col min="257" max="257" width="7.75" style="23" customWidth="1"/>
    <col min="258" max="258" width="33.875" style="23" customWidth="1"/>
    <col min="259" max="259" width="16" style="23" customWidth="1"/>
    <col min="260" max="260" width="15.875" style="23" customWidth="1"/>
    <col min="261" max="261" width="16" style="23" customWidth="1"/>
    <col min="262" max="262" width="8.75" style="23" customWidth="1"/>
    <col min="263" max="512" width="9" style="23"/>
    <col min="513" max="513" width="7.75" style="23" customWidth="1"/>
    <col min="514" max="514" width="33.875" style="23" customWidth="1"/>
    <col min="515" max="515" width="16" style="23" customWidth="1"/>
    <col min="516" max="516" width="15.875" style="23" customWidth="1"/>
    <col min="517" max="517" width="16" style="23" customWidth="1"/>
    <col min="518" max="518" width="8.75" style="23" customWidth="1"/>
    <col min="519" max="768" width="9" style="23"/>
    <col min="769" max="769" width="7.75" style="23" customWidth="1"/>
    <col min="770" max="770" width="33.875" style="23" customWidth="1"/>
    <col min="771" max="771" width="16" style="23" customWidth="1"/>
    <col min="772" max="772" width="15.875" style="23" customWidth="1"/>
    <col min="773" max="773" width="16" style="23" customWidth="1"/>
    <col min="774" max="774" width="8.75" style="23" customWidth="1"/>
    <col min="775" max="1024" width="9" style="23"/>
    <col min="1025" max="1025" width="7.75" style="23" customWidth="1"/>
    <col min="1026" max="1026" width="33.875" style="23" customWidth="1"/>
    <col min="1027" max="1027" width="16" style="23" customWidth="1"/>
    <col min="1028" max="1028" width="15.875" style="23" customWidth="1"/>
    <col min="1029" max="1029" width="16" style="23" customWidth="1"/>
    <col min="1030" max="1030" width="8.75" style="23" customWidth="1"/>
    <col min="1031" max="1280" width="9" style="23"/>
    <col min="1281" max="1281" width="7.75" style="23" customWidth="1"/>
    <col min="1282" max="1282" width="33.875" style="23" customWidth="1"/>
    <col min="1283" max="1283" width="16" style="23" customWidth="1"/>
    <col min="1284" max="1284" width="15.875" style="23" customWidth="1"/>
    <col min="1285" max="1285" width="16" style="23" customWidth="1"/>
    <col min="1286" max="1286" width="8.75" style="23" customWidth="1"/>
    <col min="1287" max="1536" width="9" style="23"/>
    <col min="1537" max="1537" width="7.75" style="23" customWidth="1"/>
    <col min="1538" max="1538" width="33.875" style="23" customWidth="1"/>
    <col min="1539" max="1539" width="16" style="23" customWidth="1"/>
    <col min="1540" max="1540" width="15.875" style="23" customWidth="1"/>
    <col min="1541" max="1541" width="16" style="23" customWidth="1"/>
    <col min="1542" max="1542" width="8.75" style="23" customWidth="1"/>
    <col min="1543" max="1792" width="9" style="23"/>
    <col min="1793" max="1793" width="7.75" style="23" customWidth="1"/>
    <col min="1794" max="1794" width="33.875" style="23" customWidth="1"/>
    <col min="1795" max="1795" width="16" style="23" customWidth="1"/>
    <col min="1796" max="1796" width="15.875" style="23" customWidth="1"/>
    <col min="1797" max="1797" width="16" style="23" customWidth="1"/>
    <col min="1798" max="1798" width="8.75" style="23" customWidth="1"/>
    <col min="1799" max="2048" width="9" style="23"/>
    <col min="2049" max="2049" width="7.75" style="23" customWidth="1"/>
    <col min="2050" max="2050" width="33.875" style="23" customWidth="1"/>
    <col min="2051" max="2051" width="16" style="23" customWidth="1"/>
    <col min="2052" max="2052" width="15.875" style="23" customWidth="1"/>
    <col min="2053" max="2053" width="16" style="23" customWidth="1"/>
    <col min="2054" max="2054" width="8.75" style="23" customWidth="1"/>
    <col min="2055" max="2304" width="9" style="23"/>
    <col min="2305" max="2305" width="7.75" style="23" customWidth="1"/>
    <col min="2306" max="2306" width="33.875" style="23" customWidth="1"/>
    <col min="2307" max="2307" width="16" style="23" customWidth="1"/>
    <col min="2308" max="2308" width="15.875" style="23" customWidth="1"/>
    <col min="2309" max="2309" width="16" style="23" customWidth="1"/>
    <col min="2310" max="2310" width="8.75" style="23" customWidth="1"/>
    <col min="2311" max="2560" width="9" style="23"/>
    <col min="2561" max="2561" width="7.75" style="23" customWidth="1"/>
    <col min="2562" max="2562" width="33.875" style="23" customWidth="1"/>
    <col min="2563" max="2563" width="16" style="23" customWidth="1"/>
    <col min="2564" max="2564" width="15.875" style="23" customWidth="1"/>
    <col min="2565" max="2565" width="16" style="23" customWidth="1"/>
    <col min="2566" max="2566" width="8.75" style="23" customWidth="1"/>
    <col min="2567" max="2816" width="9" style="23"/>
    <col min="2817" max="2817" width="7.75" style="23" customWidth="1"/>
    <col min="2818" max="2818" width="33.875" style="23" customWidth="1"/>
    <col min="2819" max="2819" width="16" style="23" customWidth="1"/>
    <col min="2820" max="2820" width="15.875" style="23" customWidth="1"/>
    <col min="2821" max="2821" width="16" style="23" customWidth="1"/>
    <col min="2822" max="2822" width="8.75" style="23" customWidth="1"/>
    <col min="2823" max="3072" width="9" style="23"/>
    <col min="3073" max="3073" width="7.75" style="23" customWidth="1"/>
    <col min="3074" max="3074" width="33.875" style="23" customWidth="1"/>
    <col min="3075" max="3075" width="16" style="23" customWidth="1"/>
    <col min="3076" max="3076" width="15.875" style="23" customWidth="1"/>
    <col min="3077" max="3077" width="16" style="23" customWidth="1"/>
    <col min="3078" max="3078" width="8.75" style="23" customWidth="1"/>
    <col min="3079" max="3328" width="9" style="23"/>
    <col min="3329" max="3329" width="7.75" style="23" customWidth="1"/>
    <col min="3330" max="3330" width="33.875" style="23" customWidth="1"/>
    <col min="3331" max="3331" width="16" style="23" customWidth="1"/>
    <col min="3332" max="3332" width="15.875" style="23" customWidth="1"/>
    <col min="3333" max="3333" width="16" style="23" customWidth="1"/>
    <col min="3334" max="3334" width="8.75" style="23" customWidth="1"/>
    <col min="3335" max="3584" width="9" style="23"/>
    <col min="3585" max="3585" width="7.75" style="23" customWidth="1"/>
    <col min="3586" max="3586" width="33.875" style="23" customWidth="1"/>
    <col min="3587" max="3587" width="16" style="23" customWidth="1"/>
    <col min="3588" max="3588" width="15.875" style="23" customWidth="1"/>
    <col min="3589" max="3589" width="16" style="23" customWidth="1"/>
    <col min="3590" max="3590" width="8.75" style="23" customWidth="1"/>
    <col min="3591" max="3840" width="9" style="23"/>
    <col min="3841" max="3841" width="7.75" style="23" customWidth="1"/>
    <col min="3842" max="3842" width="33.875" style="23" customWidth="1"/>
    <col min="3843" max="3843" width="16" style="23" customWidth="1"/>
    <col min="3844" max="3844" width="15.875" style="23" customWidth="1"/>
    <col min="3845" max="3845" width="16" style="23" customWidth="1"/>
    <col min="3846" max="3846" width="8.75" style="23" customWidth="1"/>
    <col min="3847" max="4096" width="9" style="23"/>
    <col min="4097" max="4097" width="7.75" style="23" customWidth="1"/>
    <col min="4098" max="4098" width="33.875" style="23" customWidth="1"/>
    <col min="4099" max="4099" width="16" style="23" customWidth="1"/>
    <col min="4100" max="4100" width="15.875" style="23" customWidth="1"/>
    <col min="4101" max="4101" width="16" style="23" customWidth="1"/>
    <col min="4102" max="4102" width="8.75" style="23" customWidth="1"/>
    <col min="4103" max="4352" width="9" style="23"/>
    <col min="4353" max="4353" width="7.75" style="23" customWidth="1"/>
    <col min="4354" max="4354" width="33.875" style="23" customWidth="1"/>
    <col min="4355" max="4355" width="16" style="23" customWidth="1"/>
    <col min="4356" max="4356" width="15.875" style="23" customWidth="1"/>
    <col min="4357" max="4357" width="16" style="23" customWidth="1"/>
    <col min="4358" max="4358" width="8.75" style="23" customWidth="1"/>
    <col min="4359" max="4608" width="9" style="23"/>
    <col min="4609" max="4609" width="7.75" style="23" customWidth="1"/>
    <col min="4610" max="4610" width="33.875" style="23" customWidth="1"/>
    <col min="4611" max="4611" width="16" style="23" customWidth="1"/>
    <col min="4612" max="4612" width="15.875" style="23" customWidth="1"/>
    <col min="4613" max="4613" width="16" style="23" customWidth="1"/>
    <col min="4614" max="4614" width="8.75" style="23" customWidth="1"/>
    <col min="4615" max="4864" width="9" style="23"/>
    <col min="4865" max="4865" width="7.75" style="23" customWidth="1"/>
    <col min="4866" max="4866" width="33.875" style="23" customWidth="1"/>
    <col min="4867" max="4867" width="16" style="23" customWidth="1"/>
    <col min="4868" max="4868" width="15.875" style="23" customWidth="1"/>
    <col min="4869" max="4869" width="16" style="23" customWidth="1"/>
    <col min="4870" max="4870" width="8.75" style="23" customWidth="1"/>
    <col min="4871" max="5120" width="9" style="23"/>
    <col min="5121" max="5121" width="7.75" style="23" customWidth="1"/>
    <col min="5122" max="5122" width="33.875" style="23" customWidth="1"/>
    <col min="5123" max="5123" width="16" style="23" customWidth="1"/>
    <col min="5124" max="5124" width="15.875" style="23" customWidth="1"/>
    <col min="5125" max="5125" width="16" style="23" customWidth="1"/>
    <col min="5126" max="5126" width="8.75" style="23" customWidth="1"/>
    <col min="5127" max="5376" width="9" style="23"/>
    <col min="5377" max="5377" width="7.75" style="23" customWidth="1"/>
    <col min="5378" max="5378" width="33.875" style="23" customWidth="1"/>
    <col min="5379" max="5379" width="16" style="23" customWidth="1"/>
    <col min="5380" max="5380" width="15.875" style="23" customWidth="1"/>
    <col min="5381" max="5381" width="16" style="23" customWidth="1"/>
    <col min="5382" max="5382" width="8.75" style="23" customWidth="1"/>
    <col min="5383" max="5632" width="9" style="23"/>
    <col min="5633" max="5633" width="7.75" style="23" customWidth="1"/>
    <col min="5634" max="5634" width="33.875" style="23" customWidth="1"/>
    <col min="5635" max="5635" width="16" style="23" customWidth="1"/>
    <col min="5636" max="5636" width="15.875" style="23" customWidth="1"/>
    <col min="5637" max="5637" width="16" style="23" customWidth="1"/>
    <col min="5638" max="5638" width="8.75" style="23" customWidth="1"/>
    <col min="5639" max="5888" width="9" style="23"/>
    <col min="5889" max="5889" width="7.75" style="23" customWidth="1"/>
    <col min="5890" max="5890" width="33.875" style="23" customWidth="1"/>
    <col min="5891" max="5891" width="16" style="23" customWidth="1"/>
    <col min="5892" max="5892" width="15.875" style="23" customWidth="1"/>
    <col min="5893" max="5893" width="16" style="23" customWidth="1"/>
    <col min="5894" max="5894" width="8.75" style="23" customWidth="1"/>
    <col min="5895" max="6144" width="9" style="23"/>
    <col min="6145" max="6145" width="7.75" style="23" customWidth="1"/>
    <col min="6146" max="6146" width="33.875" style="23" customWidth="1"/>
    <col min="6147" max="6147" width="16" style="23" customWidth="1"/>
    <col min="6148" max="6148" width="15.875" style="23" customWidth="1"/>
    <col min="6149" max="6149" width="16" style="23" customWidth="1"/>
    <col min="6150" max="6150" width="8.75" style="23" customWidth="1"/>
    <col min="6151" max="6400" width="9" style="23"/>
    <col min="6401" max="6401" width="7.75" style="23" customWidth="1"/>
    <col min="6402" max="6402" width="33.875" style="23" customWidth="1"/>
    <col min="6403" max="6403" width="16" style="23" customWidth="1"/>
    <col min="6404" max="6404" width="15.875" style="23" customWidth="1"/>
    <col min="6405" max="6405" width="16" style="23" customWidth="1"/>
    <col min="6406" max="6406" width="8.75" style="23" customWidth="1"/>
    <col min="6407" max="6656" width="9" style="23"/>
    <col min="6657" max="6657" width="7.75" style="23" customWidth="1"/>
    <col min="6658" max="6658" width="33.875" style="23" customWidth="1"/>
    <col min="6659" max="6659" width="16" style="23" customWidth="1"/>
    <col min="6660" max="6660" width="15.875" style="23" customWidth="1"/>
    <col min="6661" max="6661" width="16" style="23" customWidth="1"/>
    <col min="6662" max="6662" width="8.75" style="23" customWidth="1"/>
    <col min="6663" max="6912" width="9" style="23"/>
    <col min="6913" max="6913" width="7.75" style="23" customWidth="1"/>
    <col min="6914" max="6914" width="33.875" style="23" customWidth="1"/>
    <col min="6915" max="6915" width="16" style="23" customWidth="1"/>
    <col min="6916" max="6916" width="15.875" style="23" customWidth="1"/>
    <col min="6917" max="6917" width="16" style="23" customWidth="1"/>
    <col min="6918" max="6918" width="8.75" style="23" customWidth="1"/>
    <col min="6919" max="7168" width="9" style="23"/>
    <col min="7169" max="7169" width="7.75" style="23" customWidth="1"/>
    <col min="7170" max="7170" width="33.875" style="23" customWidth="1"/>
    <col min="7171" max="7171" width="16" style="23" customWidth="1"/>
    <col min="7172" max="7172" width="15.875" style="23" customWidth="1"/>
    <col min="7173" max="7173" width="16" style="23" customWidth="1"/>
    <col min="7174" max="7174" width="8.75" style="23" customWidth="1"/>
    <col min="7175" max="7424" width="9" style="23"/>
    <col min="7425" max="7425" width="7.75" style="23" customWidth="1"/>
    <col min="7426" max="7426" width="33.875" style="23" customWidth="1"/>
    <col min="7427" max="7427" width="16" style="23" customWidth="1"/>
    <col min="7428" max="7428" width="15.875" style="23" customWidth="1"/>
    <col min="7429" max="7429" width="16" style="23" customWidth="1"/>
    <col min="7430" max="7430" width="8.75" style="23" customWidth="1"/>
    <col min="7431" max="7680" width="9" style="23"/>
    <col min="7681" max="7681" width="7.75" style="23" customWidth="1"/>
    <col min="7682" max="7682" width="33.875" style="23" customWidth="1"/>
    <col min="7683" max="7683" width="16" style="23" customWidth="1"/>
    <col min="7684" max="7684" width="15.875" style="23" customWidth="1"/>
    <col min="7685" max="7685" width="16" style="23" customWidth="1"/>
    <col min="7686" max="7686" width="8.75" style="23" customWidth="1"/>
    <col min="7687" max="7936" width="9" style="23"/>
    <col min="7937" max="7937" width="7.75" style="23" customWidth="1"/>
    <col min="7938" max="7938" width="33.875" style="23" customWidth="1"/>
    <col min="7939" max="7939" width="16" style="23" customWidth="1"/>
    <col min="7940" max="7940" width="15.875" style="23" customWidth="1"/>
    <col min="7941" max="7941" width="16" style="23" customWidth="1"/>
    <col min="7942" max="7942" width="8.75" style="23" customWidth="1"/>
    <col min="7943" max="8192" width="9" style="23"/>
    <col min="8193" max="8193" width="7.75" style="23" customWidth="1"/>
    <col min="8194" max="8194" width="33.875" style="23" customWidth="1"/>
    <col min="8195" max="8195" width="16" style="23" customWidth="1"/>
    <col min="8196" max="8196" width="15.875" style="23" customWidth="1"/>
    <col min="8197" max="8197" width="16" style="23" customWidth="1"/>
    <col min="8198" max="8198" width="8.75" style="23" customWidth="1"/>
    <col min="8199" max="8448" width="9" style="23"/>
    <col min="8449" max="8449" width="7.75" style="23" customWidth="1"/>
    <col min="8450" max="8450" width="33.875" style="23" customWidth="1"/>
    <col min="8451" max="8451" width="16" style="23" customWidth="1"/>
    <col min="8452" max="8452" width="15.875" style="23" customWidth="1"/>
    <col min="8453" max="8453" width="16" style="23" customWidth="1"/>
    <col min="8454" max="8454" width="8.75" style="23" customWidth="1"/>
    <col min="8455" max="8704" width="9" style="23"/>
    <col min="8705" max="8705" width="7.75" style="23" customWidth="1"/>
    <col min="8706" max="8706" width="33.875" style="23" customWidth="1"/>
    <col min="8707" max="8707" width="16" style="23" customWidth="1"/>
    <col min="8708" max="8708" width="15.875" style="23" customWidth="1"/>
    <col min="8709" max="8709" width="16" style="23" customWidth="1"/>
    <col min="8710" max="8710" width="8.75" style="23" customWidth="1"/>
    <col min="8711" max="8960" width="9" style="23"/>
    <col min="8961" max="8961" width="7.75" style="23" customWidth="1"/>
    <col min="8962" max="8962" width="33.875" style="23" customWidth="1"/>
    <col min="8963" max="8963" width="16" style="23" customWidth="1"/>
    <col min="8964" max="8964" width="15.875" style="23" customWidth="1"/>
    <col min="8965" max="8965" width="16" style="23" customWidth="1"/>
    <col min="8966" max="8966" width="8.75" style="23" customWidth="1"/>
    <col min="8967" max="9216" width="9" style="23"/>
    <col min="9217" max="9217" width="7.75" style="23" customWidth="1"/>
    <col min="9218" max="9218" width="33.875" style="23" customWidth="1"/>
    <col min="9219" max="9219" width="16" style="23" customWidth="1"/>
    <col min="9220" max="9220" width="15.875" style="23" customWidth="1"/>
    <col min="9221" max="9221" width="16" style="23" customWidth="1"/>
    <col min="9222" max="9222" width="8.75" style="23" customWidth="1"/>
    <col min="9223" max="9472" width="9" style="23"/>
    <col min="9473" max="9473" width="7.75" style="23" customWidth="1"/>
    <col min="9474" max="9474" width="33.875" style="23" customWidth="1"/>
    <col min="9475" max="9475" width="16" style="23" customWidth="1"/>
    <col min="9476" max="9476" width="15.875" style="23" customWidth="1"/>
    <col min="9477" max="9477" width="16" style="23" customWidth="1"/>
    <col min="9478" max="9478" width="8.75" style="23" customWidth="1"/>
    <col min="9479" max="9728" width="9" style="23"/>
    <col min="9729" max="9729" width="7.75" style="23" customWidth="1"/>
    <col min="9730" max="9730" width="33.875" style="23" customWidth="1"/>
    <col min="9731" max="9731" width="16" style="23" customWidth="1"/>
    <col min="9732" max="9732" width="15.875" style="23" customWidth="1"/>
    <col min="9733" max="9733" width="16" style="23" customWidth="1"/>
    <col min="9734" max="9734" width="8.75" style="23" customWidth="1"/>
    <col min="9735" max="9984" width="9" style="23"/>
    <col min="9985" max="9985" width="7.75" style="23" customWidth="1"/>
    <col min="9986" max="9986" width="33.875" style="23" customWidth="1"/>
    <col min="9987" max="9987" width="16" style="23" customWidth="1"/>
    <col min="9988" max="9988" width="15.875" style="23" customWidth="1"/>
    <col min="9989" max="9989" width="16" style="23" customWidth="1"/>
    <col min="9990" max="9990" width="8.75" style="23" customWidth="1"/>
    <col min="9991" max="10240" width="9" style="23"/>
    <col min="10241" max="10241" width="7.75" style="23" customWidth="1"/>
    <col min="10242" max="10242" width="33.875" style="23" customWidth="1"/>
    <col min="10243" max="10243" width="16" style="23" customWidth="1"/>
    <col min="10244" max="10244" width="15.875" style="23" customWidth="1"/>
    <col min="10245" max="10245" width="16" style="23" customWidth="1"/>
    <col min="10246" max="10246" width="8.75" style="23" customWidth="1"/>
    <col min="10247" max="10496" width="9" style="23"/>
    <col min="10497" max="10497" width="7.75" style="23" customWidth="1"/>
    <col min="10498" max="10498" width="33.875" style="23" customWidth="1"/>
    <col min="10499" max="10499" width="16" style="23" customWidth="1"/>
    <col min="10500" max="10500" width="15.875" style="23" customWidth="1"/>
    <col min="10501" max="10501" width="16" style="23" customWidth="1"/>
    <col min="10502" max="10502" width="8.75" style="23" customWidth="1"/>
    <col min="10503" max="10752" width="9" style="23"/>
    <col min="10753" max="10753" width="7.75" style="23" customWidth="1"/>
    <col min="10754" max="10754" width="33.875" style="23" customWidth="1"/>
    <col min="10755" max="10755" width="16" style="23" customWidth="1"/>
    <col min="10756" max="10756" width="15.875" style="23" customWidth="1"/>
    <col min="10757" max="10757" width="16" style="23" customWidth="1"/>
    <col min="10758" max="10758" width="8.75" style="23" customWidth="1"/>
    <col min="10759" max="11008" width="9" style="23"/>
    <col min="11009" max="11009" width="7.75" style="23" customWidth="1"/>
    <col min="11010" max="11010" width="33.875" style="23" customWidth="1"/>
    <col min="11011" max="11011" width="16" style="23" customWidth="1"/>
    <col min="11012" max="11012" width="15.875" style="23" customWidth="1"/>
    <col min="11013" max="11013" width="16" style="23" customWidth="1"/>
    <col min="11014" max="11014" width="8.75" style="23" customWidth="1"/>
    <col min="11015" max="11264" width="9" style="23"/>
    <col min="11265" max="11265" width="7.75" style="23" customWidth="1"/>
    <col min="11266" max="11266" width="33.875" style="23" customWidth="1"/>
    <col min="11267" max="11267" width="16" style="23" customWidth="1"/>
    <col min="11268" max="11268" width="15.875" style="23" customWidth="1"/>
    <col min="11269" max="11269" width="16" style="23" customWidth="1"/>
    <col min="11270" max="11270" width="8.75" style="23" customWidth="1"/>
    <col min="11271" max="11520" width="9" style="23"/>
    <col min="11521" max="11521" width="7.75" style="23" customWidth="1"/>
    <col min="11522" max="11522" width="33.875" style="23" customWidth="1"/>
    <col min="11523" max="11523" width="16" style="23" customWidth="1"/>
    <col min="11524" max="11524" width="15.875" style="23" customWidth="1"/>
    <col min="11525" max="11525" width="16" style="23" customWidth="1"/>
    <col min="11526" max="11526" width="8.75" style="23" customWidth="1"/>
    <col min="11527" max="11776" width="9" style="23"/>
    <col min="11777" max="11777" width="7.75" style="23" customWidth="1"/>
    <col min="11778" max="11778" width="33.875" style="23" customWidth="1"/>
    <col min="11779" max="11779" width="16" style="23" customWidth="1"/>
    <col min="11780" max="11780" width="15.875" style="23" customWidth="1"/>
    <col min="11781" max="11781" width="16" style="23" customWidth="1"/>
    <col min="11782" max="11782" width="8.75" style="23" customWidth="1"/>
    <col min="11783" max="12032" width="9" style="23"/>
    <col min="12033" max="12033" width="7.75" style="23" customWidth="1"/>
    <col min="12034" max="12034" width="33.875" style="23" customWidth="1"/>
    <col min="12035" max="12035" width="16" style="23" customWidth="1"/>
    <col min="12036" max="12036" width="15.875" style="23" customWidth="1"/>
    <col min="12037" max="12037" width="16" style="23" customWidth="1"/>
    <col min="12038" max="12038" width="8.75" style="23" customWidth="1"/>
    <col min="12039" max="12288" width="9" style="23"/>
    <col min="12289" max="12289" width="7.75" style="23" customWidth="1"/>
    <col min="12290" max="12290" width="33.875" style="23" customWidth="1"/>
    <col min="12291" max="12291" width="16" style="23" customWidth="1"/>
    <col min="12292" max="12292" width="15.875" style="23" customWidth="1"/>
    <col min="12293" max="12293" width="16" style="23" customWidth="1"/>
    <col min="12294" max="12294" width="8.75" style="23" customWidth="1"/>
    <col min="12295" max="12544" width="9" style="23"/>
    <col min="12545" max="12545" width="7.75" style="23" customWidth="1"/>
    <col min="12546" max="12546" width="33.875" style="23" customWidth="1"/>
    <col min="12547" max="12547" width="16" style="23" customWidth="1"/>
    <col min="12548" max="12548" width="15.875" style="23" customWidth="1"/>
    <col min="12549" max="12549" width="16" style="23" customWidth="1"/>
    <col min="12550" max="12550" width="8.75" style="23" customWidth="1"/>
    <col min="12551" max="12800" width="9" style="23"/>
    <col min="12801" max="12801" width="7.75" style="23" customWidth="1"/>
    <col min="12802" max="12802" width="33.875" style="23" customWidth="1"/>
    <col min="12803" max="12803" width="16" style="23" customWidth="1"/>
    <col min="12804" max="12804" width="15.875" style="23" customWidth="1"/>
    <col min="12805" max="12805" width="16" style="23" customWidth="1"/>
    <col min="12806" max="12806" width="8.75" style="23" customWidth="1"/>
    <col min="12807" max="13056" width="9" style="23"/>
    <col min="13057" max="13057" width="7.75" style="23" customWidth="1"/>
    <col min="13058" max="13058" width="33.875" style="23" customWidth="1"/>
    <col min="13059" max="13059" width="16" style="23" customWidth="1"/>
    <col min="13060" max="13060" width="15.875" style="23" customWidth="1"/>
    <col min="13061" max="13061" width="16" style="23" customWidth="1"/>
    <col min="13062" max="13062" width="8.75" style="23" customWidth="1"/>
    <col min="13063" max="13312" width="9" style="23"/>
    <col min="13313" max="13313" width="7.75" style="23" customWidth="1"/>
    <col min="13314" max="13314" width="33.875" style="23" customWidth="1"/>
    <col min="13315" max="13315" width="16" style="23" customWidth="1"/>
    <col min="13316" max="13316" width="15.875" style="23" customWidth="1"/>
    <col min="13317" max="13317" width="16" style="23" customWidth="1"/>
    <col min="13318" max="13318" width="8.75" style="23" customWidth="1"/>
    <col min="13319" max="13568" width="9" style="23"/>
    <col min="13569" max="13569" width="7.75" style="23" customWidth="1"/>
    <col min="13570" max="13570" width="33.875" style="23" customWidth="1"/>
    <col min="13571" max="13571" width="16" style="23" customWidth="1"/>
    <col min="13572" max="13572" width="15.875" style="23" customWidth="1"/>
    <col min="13573" max="13573" width="16" style="23" customWidth="1"/>
    <col min="13574" max="13574" width="8.75" style="23" customWidth="1"/>
    <col min="13575" max="13824" width="9" style="23"/>
    <col min="13825" max="13825" width="7.75" style="23" customWidth="1"/>
    <col min="13826" max="13826" width="33.875" style="23" customWidth="1"/>
    <col min="13827" max="13827" width="16" style="23" customWidth="1"/>
    <col min="13828" max="13828" width="15.875" style="23" customWidth="1"/>
    <col min="13829" max="13829" width="16" style="23" customWidth="1"/>
    <col min="13830" max="13830" width="8.75" style="23" customWidth="1"/>
    <col min="13831" max="14080" width="9" style="23"/>
    <col min="14081" max="14081" width="7.75" style="23" customWidth="1"/>
    <col min="14082" max="14082" width="33.875" style="23" customWidth="1"/>
    <col min="14083" max="14083" width="16" style="23" customWidth="1"/>
    <col min="14084" max="14084" width="15.875" style="23" customWidth="1"/>
    <col min="14085" max="14085" width="16" style="23" customWidth="1"/>
    <col min="14086" max="14086" width="8.75" style="23" customWidth="1"/>
    <col min="14087" max="14336" width="9" style="23"/>
    <col min="14337" max="14337" width="7.75" style="23" customWidth="1"/>
    <col min="14338" max="14338" width="33.875" style="23" customWidth="1"/>
    <col min="14339" max="14339" width="16" style="23" customWidth="1"/>
    <col min="14340" max="14340" width="15.875" style="23" customWidth="1"/>
    <col min="14341" max="14341" width="16" style="23" customWidth="1"/>
    <col min="14342" max="14342" width="8.75" style="23" customWidth="1"/>
    <col min="14343" max="14592" width="9" style="23"/>
    <col min="14593" max="14593" width="7.75" style="23" customWidth="1"/>
    <col min="14594" max="14594" width="33.875" style="23" customWidth="1"/>
    <col min="14595" max="14595" width="16" style="23" customWidth="1"/>
    <col min="14596" max="14596" width="15.875" style="23" customWidth="1"/>
    <col min="14597" max="14597" width="16" style="23" customWidth="1"/>
    <col min="14598" max="14598" width="8.75" style="23" customWidth="1"/>
    <col min="14599" max="14848" width="9" style="23"/>
    <col min="14849" max="14849" width="7.75" style="23" customWidth="1"/>
    <col min="14850" max="14850" width="33.875" style="23" customWidth="1"/>
    <col min="14851" max="14851" width="16" style="23" customWidth="1"/>
    <col min="14852" max="14852" width="15.875" style="23" customWidth="1"/>
    <col min="14853" max="14853" width="16" style="23" customWidth="1"/>
    <col min="14854" max="14854" width="8.75" style="23" customWidth="1"/>
    <col min="14855" max="15104" width="9" style="23"/>
    <col min="15105" max="15105" width="7.75" style="23" customWidth="1"/>
    <col min="15106" max="15106" width="33.875" style="23" customWidth="1"/>
    <col min="15107" max="15107" width="16" style="23" customWidth="1"/>
    <col min="15108" max="15108" width="15.875" style="23" customWidth="1"/>
    <col min="15109" max="15109" width="16" style="23" customWidth="1"/>
    <col min="15110" max="15110" width="8.75" style="23" customWidth="1"/>
    <col min="15111" max="15360" width="9" style="23"/>
    <col min="15361" max="15361" width="7.75" style="23" customWidth="1"/>
    <col min="15362" max="15362" width="33.875" style="23" customWidth="1"/>
    <col min="15363" max="15363" width="16" style="23" customWidth="1"/>
    <col min="15364" max="15364" width="15.875" style="23" customWidth="1"/>
    <col min="15365" max="15365" width="16" style="23" customWidth="1"/>
    <col min="15366" max="15366" width="8.75" style="23" customWidth="1"/>
    <col min="15367" max="15616" width="9" style="23"/>
    <col min="15617" max="15617" width="7.75" style="23" customWidth="1"/>
    <col min="15618" max="15618" width="33.875" style="23" customWidth="1"/>
    <col min="15619" max="15619" width="16" style="23" customWidth="1"/>
    <col min="15620" max="15620" width="15.875" style="23" customWidth="1"/>
    <col min="15621" max="15621" width="16" style="23" customWidth="1"/>
    <col min="15622" max="15622" width="8.75" style="23" customWidth="1"/>
    <col min="15623" max="15872" width="9" style="23"/>
    <col min="15873" max="15873" width="7.75" style="23" customWidth="1"/>
    <col min="15874" max="15874" width="33.875" style="23" customWidth="1"/>
    <col min="15875" max="15875" width="16" style="23" customWidth="1"/>
    <col min="15876" max="15876" width="15.875" style="23" customWidth="1"/>
    <col min="15877" max="15877" width="16" style="23" customWidth="1"/>
    <col min="15878" max="15878" width="8.75" style="23" customWidth="1"/>
    <col min="15879" max="16128" width="9" style="23"/>
    <col min="16129" max="16129" width="7.75" style="23" customWidth="1"/>
    <col min="16130" max="16130" width="33.875" style="23" customWidth="1"/>
    <col min="16131" max="16131" width="16" style="23" customWidth="1"/>
    <col min="16132" max="16132" width="15.875" style="23" customWidth="1"/>
    <col min="16133" max="16133" width="16" style="23" customWidth="1"/>
    <col min="16134" max="16134" width="8.75" style="23" customWidth="1"/>
    <col min="16135" max="16384" width="9" style="23"/>
  </cols>
  <sheetData>
    <row r="1" spans="1:7" s="887" customFormat="1" ht="24.95" customHeight="1">
      <c r="A1" s="884" t="s">
        <v>189</v>
      </c>
      <c r="B1" s="884"/>
      <c r="C1" s="884"/>
      <c r="D1" s="884"/>
      <c r="E1" s="884"/>
      <c r="F1" s="885"/>
      <c r="G1" s="886"/>
    </row>
    <row r="2" spans="1:7" s="887" customFormat="1" ht="21" customHeight="1">
      <c r="A2" s="884" t="s">
        <v>856</v>
      </c>
      <c r="B2" s="884"/>
      <c r="C2" s="884"/>
      <c r="D2" s="884"/>
      <c r="E2" s="884"/>
      <c r="F2" s="885"/>
      <c r="G2" s="886"/>
    </row>
    <row r="3" spans="1:7" s="887" customFormat="1" ht="24.95" customHeight="1">
      <c r="A3" s="884" t="s">
        <v>450</v>
      </c>
      <c r="B3" s="884"/>
      <c r="C3" s="884"/>
      <c r="D3" s="884"/>
      <c r="E3" s="884"/>
      <c r="F3" s="885"/>
      <c r="G3" s="886"/>
    </row>
    <row r="4" spans="1:7" ht="24.95" customHeight="1">
      <c r="A4" s="888"/>
      <c r="B4" s="888"/>
      <c r="C4" s="888"/>
      <c r="D4" s="888"/>
      <c r="E4" s="888"/>
      <c r="F4" s="889"/>
    </row>
    <row r="5" spans="1:7" s="79" customFormat="1" ht="42">
      <c r="A5" s="890" t="s">
        <v>857</v>
      </c>
      <c r="B5" s="891" t="s">
        <v>167</v>
      </c>
      <c r="C5" s="890" t="s">
        <v>134</v>
      </c>
      <c r="D5" s="890" t="s">
        <v>137</v>
      </c>
      <c r="E5" s="890" t="s">
        <v>135</v>
      </c>
      <c r="F5" s="892"/>
      <c r="G5" s="381"/>
    </row>
    <row r="6" spans="1:7" s="79" customFormat="1" ht="22.5" customHeight="1">
      <c r="A6" s="893">
        <v>1</v>
      </c>
      <c r="B6" s="456" t="s">
        <v>455</v>
      </c>
      <c r="C6" s="894">
        <f>+'[29]31 ธค.65'!E7</f>
        <v>619434</v>
      </c>
      <c r="D6" s="895">
        <v>0</v>
      </c>
      <c r="E6" s="896">
        <f>SUM(C6:D6)</f>
        <v>619434</v>
      </c>
      <c r="F6" s="897"/>
      <c r="G6" s="381"/>
    </row>
    <row r="7" spans="1:7" s="79" customFormat="1" ht="22.5" customHeight="1">
      <c r="A7" s="893">
        <v>2</v>
      </c>
      <c r="B7" s="456" t="s">
        <v>858</v>
      </c>
      <c r="C7" s="894">
        <f>+'[29]31 ธค.65'!E9</f>
        <v>84</v>
      </c>
      <c r="D7" s="895">
        <v>0</v>
      </c>
      <c r="E7" s="896">
        <f>SUM(C7:D7)</f>
        <v>84</v>
      </c>
      <c r="F7" s="897"/>
      <c r="G7" s="381"/>
    </row>
    <row r="8" spans="1:7" s="79" customFormat="1" ht="22.5" customHeight="1">
      <c r="A8" s="898">
        <v>3</v>
      </c>
      <c r="B8" s="454" t="s">
        <v>84</v>
      </c>
      <c r="C8" s="896">
        <f>+'[29]31 ธค.65'!E11</f>
        <v>171.04</v>
      </c>
      <c r="D8" s="899">
        <v>0</v>
      </c>
      <c r="E8" s="896">
        <f>SUM(C8:D8)</f>
        <v>171.04</v>
      </c>
      <c r="F8" s="897"/>
      <c r="G8" s="381"/>
    </row>
    <row r="9" spans="1:7" s="79" customFormat="1" ht="22.5" customHeight="1">
      <c r="A9" s="893">
        <v>4</v>
      </c>
      <c r="B9" s="456" t="s">
        <v>105</v>
      </c>
      <c r="C9" s="894">
        <f>+'[29]31 ธค.65'!E15</f>
        <v>945784</v>
      </c>
      <c r="D9" s="895">
        <v>0</v>
      </c>
      <c r="E9" s="896">
        <f>SUM(C9:D9)</f>
        <v>945784</v>
      </c>
      <c r="F9" s="897"/>
      <c r="G9" s="381"/>
    </row>
    <row r="10" spans="1:7" s="79" customFormat="1" ht="22.5" customHeight="1">
      <c r="A10" s="893">
        <v>5</v>
      </c>
      <c r="B10" s="456" t="s">
        <v>859</v>
      </c>
      <c r="C10" s="894">
        <f>+'[29]31 ธค.65'!E17</f>
        <v>10187000</v>
      </c>
      <c r="D10" s="895">
        <f>+'[29]31 ธค.65'!E26</f>
        <v>85354332.799999997</v>
      </c>
      <c r="E10" s="896">
        <f>SUM(C10:D10)</f>
        <v>95541332.799999997</v>
      </c>
      <c r="F10" s="897"/>
      <c r="G10" s="381"/>
    </row>
    <row r="11" spans="1:7" s="79" customFormat="1" ht="22.5" customHeight="1">
      <c r="A11" s="893"/>
      <c r="B11" s="900"/>
      <c r="C11" s="901"/>
      <c r="D11" s="901"/>
      <c r="E11" s="896"/>
      <c r="F11" s="897"/>
      <c r="G11" s="381"/>
    </row>
    <row r="12" spans="1:7" s="79" customFormat="1" ht="22.5" customHeight="1">
      <c r="A12" s="893"/>
      <c r="B12" s="456"/>
      <c r="C12" s="894"/>
      <c r="D12" s="895"/>
      <c r="E12" s="896"/>
      <c r="F12" s="897"/>
      <c r="G12" s="381"/>
    </row>
    <row r="13" spans="1:7" s="79" customFormat="1" ht="22.5" customHeight="1">
      <c r="A13" s="893"/>
      <c r="B13" s="456"/>
      <c r="C13" s="894"/>
      <c r="D13" s="895"/>
      <c r="E13" s="896"/>
      <c r="F13" s="897"/>
      <c r="G13" s="381"/>
    </row>
    <row r="14" spans="1:7" s="387" customFormat="1" ht="22.5" customHeight="1" thickBot="1">
      <c r="A14" s="902"/>
      <c r="B14" s="903" t="s">
        <v>11</v>
      </c>
      <c r="C14" s="904">
        <f>SUM(C6:C13)</f>
        <v>11752473.039999999</v>
      </c>
      <c r="D14" s="904">
        <f>SUM(D6:D13)</f>
        <v>85354332.799999997</v>
      </c>
      <c r="E14" s="904">
        <f>SUM(E6:E13)</f>
        <v>97106805.840000004</v>
      </c>
      <c r="F14" s="905"/>
    </row>
    <row r="15" spans="1:7" s="387" customFormat="1" ht="24.95" customHeight="1" thickTop="1">
      <c r="A15" s="396"/>
      <c r="B15" s="906"/>
      <c r="C15" s="907"/>
      <c r="D15" s="907"/>
      <c r="E15" s="907"/>
      <c r="F15" s="907"/>
    </row>
    <row r="16" spans="1:7" s="387" customFormat="1" ht="24.95" customHeight="1">
      <c r="A16" s="908"/>
      <c r="B16" s="23"/>
      <c r="C16" s="909"/>
      <c r="D16" s="909"/>
      <c r="E16" s="910"/>
      <c r="F16" s="383"/>
    </row>
    <row r="17" spans="1:6" s="387" customFormat="1" ht="24.95" customHeight="1">
      <c r="A17" s="908"/>
      <c r="B17" s="23"/>
      <c r="C17" s="1159"/>
      <c r="D17" s="1159"/>
      <c r="E17" s="910"/>
      <c r="F17" s="383"/>
    </row>
  </sheetData>
  <mergeCells count="1">
    <mergeCell ref="C17:D1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49"/>
  <sheetViews>
    <sheetView workbookViewId="0">
      <selection activeCell="M23" sqref="M23"/>
    </sheetView>
  </sheetViews>
  <sheetFormatPr defaultRowHeight="19.5"/>
  <cols>
    <col min="1" max="1" width="3.875" style="998" customWidth="1"/>
    <col min="2" max="2" width="30.875" style="999" customWidth="1"/>
    <col min="3" max="3" width="11.75" style="999" customWidth="1"/>
    <col min="4" max="4" width="11.375" style="999" customWidth="1"/>
    <col min="5" max="5" width="14.5" style="1000" bestFit="1" customWidth="1"/>
    <col min="6" max="6" width="14.125" style="1000" customWidth="1"/>
    <col min="7" max="7" width="16.375" style="1000" customWidth="1"/>
    <col min="8" max="8" width="15.625" style="1000" customWidth="1"/>
    <col min="9" max="9" width="12.625" style="999" hidden="1" customWidth="1"/>
    <col min="10" max="10" width="9.125" style="988" hidden="1" customWidth="1"/>
    <col min="11" max="11" width="37.875" style="1001" customWidth="1"/>
    <col min="12" max="12" width="30" style="928" customWidth="1"/>
    <col min="13" max="256" width="9" style="928"/>
    <col min="257" max="257" width="3.875" style="928" customWidth="1"/>
    <col min="258" max="258" width="30.875" style="928" customWidth="1"/>
    <col min="259" max="259" width="11.75" style="928" customWidth="1"/>
    <col min="260" max="260" width="11.375" style="928" customWidth="1"/>
    <col min="261" max="261" width="14.5" style="928" bestFit="1" customWidth="1"/>
    <col min="262" max="262" width="14.125" style="928" customWidth="1"/>
    <col min="263" max="263" width="16.375" style="928" customWidth="1"/>
    <col min="264" max="264" width="15.625" style="928" customWidth="1"/>
    <col min="265" max="266" width="0" style="928" hidden="1" customWidth="1"/>
    <col min="267" max="267" width="37.875" style="928" customWidth="1"/>
    <col min="268" max="268" width="30" style="928" customWidth="1"/>
    <col min="269" max="512" width="9" style="928"/>
    <col min="513" max="513" width="3.875" style="928" customWidth="1"/>
    <col min="514" max="514" width="30.875" style="928" customWidth="1"/>
    <col min="515" max="515" width="11.75" style="928" customWidth="1"/>
    <col min="516" max="516" width="11.375" style="928" customWidth="1"/>
    <col min="517" max="517" width="14.5" style="928" bestFit="1" customWidth="1"/>
    <col min="518" max="518" width="14.125" style="928" customWidth="1"/>
    <col min="519" max="519" width="16.375" style="928" customWidth="1"/>
    <col min="520" max="520" width="15.625" style="928" customWidth="1"/>
    <col min="521" max="522" width="0" style="928" hidden="1" customWidth="1"/>
    <col min="523" max="523" width="37.875" style="928" customWidth="1"/>
    <col min="524" max="524" width="30" style="928" customWidth="1"/>
    <col min="525" max="768" width="9" style="928"/>
    <col min="769" max="769" width="3.875" style="928" customWidth="1"/>
    <col min="770" max="770" width="30.875" style="928" customWidth="1"/>
    <col min="771" max="771" width="11.75" style="928" customWidth="1"/>
    <col min="772" max="772" width="11.375" style="928" customWidth="1"/>
    <col min="773" max="773" width="14.5" style="928" bestFit="1" customWidth="1"/>
    <col min="774" max="774" width="14.125" style="928" customWidth="1"/>
    <col min="775" max="775" width="16.375" style="928" customWidth="1"/>
    <col min="776" max="776" width="15.625" style="928" customWidth="1"/>
    <col min="777" max="778" width="0" style="928" hidden="1" customWidth="1"/>
    <col min="779" max="779" width="37.875" style="928" customWidth="1"/>
    <col min="780" max="780" width="30" style="928" customWidth="1"/>
    <col min="781" max="1024" width="9" style="928"/>
    <col min="1025" max="1025" width="3.875" style="928" customWidth="1"/>
    <col min="1026" max="1026" width="30.875" style="928" customWidth="1"/>
    <col min="1027" max="1027" width="11.75" style="928" customWidth="1"/>
    <col min="1028" max="1028" width="11.375" style="928" customWidth="1"/>
    <col min="1029" max="1029" width="14.5" style="928" bestFit="1" customWidth="1"/>
    <col min="1030" max="1030" width="14.125" style="928" customWidth="1"/>
    <col min="1031" max="1031" width="16.375" style="928" customWidth="1"/>
    <col min="1032" max="1032" width="15.625" style="928" customWidth="1"/>
    <col min="1033" max="1034" width="0" style="928" hidden="1" customWidth="1"/>
    <col min="1035" max="1035" width="37.875" style="928" customWidth="1"/>
    <col min="1036" max="1036" width="30" style="928" customWidth="1"/>
    <col min="1037" max="1280" width="9" style="928"/>
    <col min="1281" max="1281" width="3.875" style="928" customWidth="1"/>
    <col min="1282" max="1282" width="30.875" style="928" customWidth="1"/>
    <col min="1283" max="1283" width="11.75" style="928" customWidth="1"/>
    <col min="1284" max="1284" width="11.375" style="928" customWidth="1"/>
    <col min="1285" max="1285" width="14.5" style="928" bestFit="1" customWidth="1"/>
    <col min="1286" max="1286" width="14.125" style="928" customWidth="1"/>
    <col min="1287" max="1287" width="16.375" style="928" customWidth="1"/>
    <col min="1288" max="1288" width="15.625" style="928" customWidth="1"/>
    <col min="1289" max="1290" width="0" style="928" hidden="1" customWidth="1"/>
    <col min="1291" max="1291" width="37.875" style="928" customWidth="1"/>
    <col min="1292" max="1292" width="30" style="928" customWidth="1"/>
    <col min="1293" max="1536" width="9" style="928"/>
    <col min="1537" max="1537" width="3.875" style="928" customWidth="1"/>
    <col min="1538" max="1538" width="30.875" style="928" customWidth="1"/>
    <col min="1539" max="1539" width="11.75" style="928" customWidth="1"/>
    <col min="1540" max="1540" width="11.375" style="928" customWidth="1"/>
    <col min="1541" max="1541" width="14.5" style="928" bestFit="1" customWidth="1"/>
    <col min="1542" max="1542" width="14.125" style="928" customWidth="1"/>
    <col min="1543" max="1543" width="16.375" style="928" customWidth="1"/>
    <col min="1544" max="1544" width="15.625" style="928" customWidth="1"/>
    <col min="1545" max="1546" width="0" style="928" hidden="1" customWidth="1"/>
    <col min="1547" max="1547" width="37.875" style="928" customWidth="1"/>
    <col min="1548" max="1548" width="30" style="928" customWidth="1"/>
    <col min="1549" max="1792" width="9" style="928"/>
    <col min="1793" max="1793" width="3.875" style="928" customWidth="1"/>
    <col min="1794" max="1794" width="30.875" style="928" customWidth="1"/>
    <col min="1795" max="1795" width="11.75" style="928" customWidth="1"/>
    <col min="1796" max="1796" width="11.375" style="928" customWidth="1"/>
    <col min="1797" max="1797" width="14.5" style="928" bestFit="1" customWidth="1"/>
    <col min="1798" max="1798" width="14.125" style="928" customWidth="1"/>
    <col min="1799" max="1799" width="16.375" style="928" customWidth="1"/>
    <col min="1800" max="1800" width="15.625" style="928" customWidth="1"/>
    <col min="1801" max="1802" width="0" style="928" hidden="1" customWidth="1"/>
    <col min="1803" max="1803" width="37.875" style="928" customWidth="1"/>
    <col min="1804" max="1804" width="30" style="928" customWidth="1"/>
    <col min="1805" max="2048" width="9" style="928"/>
    <col min="2049" max="2049" width="3.875" style="928" customWidth="1"/>
    <col min="2050" max="2050" width="30.875" style="928" customWidth="1"/>
    <col min="2051" max="2051" width="11.75" style="928" customWidth="1"/>
    <col min="2052" max="2052" width="11.375" style="928" customWidth="1"/>
    <col min="2053" max="2053" width="14.5" style="928" bestFit="1" customWidth="1"/>
    <col min="2054" max="2054" width="14.125" style="928" customWidth="1"/>
    <col min="2055" max="2055" width="16.375" style="928" customWidth="1"/>
    <col min="2056" max="2056" width="15.625" style="928" customWidth="1"/>
    <col min="2057" max="2058" width="0" style="928" hidden="1" customWidth="1"/>
    <col min="2059" max="2059" width="37.875" style="928" customWidth="1"/>
    <col min="2060" max="2060" width="30" style="928" customWidth="1"/>
    <col min="2061" max="2304" width="9" style="928"/>
    <col min="2305" max="2305" width="3.875" style="928" customWidth="1"/>
    <col min="2306" max="2306" width="30.875" style="928" customWidth="1"/>
    <col min="2307" max="2307" width="11.75" style="928" customWidth="1"/>
    <col min="2308" max="2308" width="11.375" style="928" customWidth="1"/>
    <col min="2309" max="2309" width="14.5" style="928" bestFit="1" customWidth="1"/>
    <col min="2310" max="2310" width="14.125" style="928" customWidth="1"/>
    <col min="2311" max="2311" width="16.375" style="928" customWidth="1"/>
    <col min="2312" max="2312" width="15.625" style="928" customWidth="1"/>
    <col min="2313" max="2314" width="0" style="928" hidden="1" customWidth="1"/>
    <col min="2315" max="2315" width="37.875" style="928" customWidth="1"/>
    <col min="2316" max="2316" width="30" style="928" customWidth="1"/>
    <col min="2317" max="2560" width="9" style="928"/>
    <col min="2561" max="2561" width="3.875" style="928" customWidth="1"/>
    <col min="2562" max="2562" width="30.875" style="928" customWidth="1"/>
    <col min="2563" max="2563" width="11.75" style="928" customWidth="1"/>
    <col min="2564" max="2564" width="11.375" style="928" customWidth="1"/>
    <col min="2565" max="2565" width="14.5" style="928" bestFit="1" customWidth="1"/>
    <col min="2566" max="2566" width="14.125" style="928" customWidth="1"/>
    <col min="2567" max="2567" width="16.375" style="928" customWidth="1"/>
    <col min="2568" max="2568" width="15.625" style="928" customWidth="1"/>
    <col min="2569" max="2570" width="0" style="928" hidden="1" customWidth="1"/>
    <col min="2571" max="2571" width="37.875" style="928" customWidth="1"/>
    <col min="2572" max="2572" width="30" style="928" customWidth="1"/>
    <col min="2573" max="2816" width="9" style="928"/>
    <col min="2817" max="2817" width="3.875" style="928" customWidth="1"/>
    <col min="2818" max="2818" width="30.875" style="928" customWidth="1"/>
    <col min="2819" max="2819" width="11.75" style="928" customWidth="1"/>
    <col min="2820" max="2820" width="11.375" style="928" customWidth="1"/>
    <col min="2821" max="2821" width="14.5" style="928" bestFit="1" customWidth="1"/>
    <col min="2822" max="2822" width="14.125" style="928" customWidth="1"/>
    <col min="2823" max="2823" width="16.375" style="928" customWidth="1"/>
    <col min="2824" max="2824" width="15.625" style="928" customWidth="1"/>
    <col min="2825" max="2826" width="0" style="928" hidden="1" customWidth="1"/>
    <col min="2827" max="2827" width="37.875" style="928" customWidth="1"/>
    <col min="2828" max="2828" width="30" style="928" customWidth="1"/>
    <col min="2829" max="3072" width="9" style="928"/>
    <col min="3073" max="3073" width="3.875" style="928" customWidth="1"/>
    <col min="3074" max="3074" width="30.875" style="928" customWidth="1"/>
    <col min="3075" max="3075" width="11.75" style="928" customWidth="1"/>
    <col min="3076" max="3076" width="11.375" style="928" customWidth="1"/>
    <col min="3077" max="3077" width="14.5" style="928" bestFit="1" customWidth="1"/>
    <col min="3078" max="3078" width="14.125" style="928" customWidth="1"/>
    <col min="3079" max="3079" width="16.375" style="928" customWidth="1"/>
    <col min="3080" max="3080" width="15.625" style="928" customWidth="1"/>
    <col min="3081" max="3082" width="0" style="928" hidden="1" customWidth="1"/>
    <col min="3083" max="3083" width="37.875" style="928" customWidth="1"/>
    <col min="3084" max="3084" width="30" style="928" customWidth="1"/>
    <col min="3085" max="3328" width="9" style="928"/>
    <col min="3329" max="3329" width="3.875" style="928" customWidth="1"/>
    <col min="3330" max="3330" width="30.875" style="928" customWidth="1"/>
    <col min="3331" max="3331" width="11.75" style="928" customWidth="1"/>
    <col min="3332" max="3332" width="11.375" style="928" customWidth="1"/>
    <col min="3333" max="3333" width="14.5" style="928" bestFit="1" customWidth="1"/>
    <col min="3334" max="3334" width="14.125" style="928" customWidth="1"/>
    <col min="3335" max="3335" width="16.375" style="928" customWidth="1"/>
    <col min="3336" max="3336" width="15.625" style="928" customWidth="1"/>
    <col min="3337" max="3338" width="0" style="928" hidden="1" customWidth="1"/>
    <col min="3339" max="3339" width="37.875" style="928" customWidth="1"/>
    <col min="3340" max="3340" width="30" style="928" customWidth="1"/>
    <col min="3341" max="3584" width="9" style="928"/>
    <col min="3585" max="3585" width="3.875" style="928" customWidth="1"/>
    <col min="3586" max="3586" width="30.875" style="928" customWidth="1"/>
    <col min="3587" max="3587" width="11.75" style="928" customWidth="1"/>
    <col min="3588" max="3588" width="11.375" style="928" customWidth="1"/>
    <col min="3589" max="3589" width="14.5" style="928" bestFit="1" customWidth="1"/>
    <col min="3590" max="3590" width="14.125" style="928" customWidth="1"/>
    <col min="3591" max="3591" width="16.375" style="928" customWidth="1"/>
    <col min="3592" max="3592" width="15.625" style="928" customWidth="1"/>
    <col min="3593" max="3594" width="0" style="928" hidden="1" customWidth="1"/>
    <col min="3595" max="3595" width="37.875" style="928" customWidth="1"/>
    <col min="3596" max="3596" width="30" style="928" customWidth="1"/>
    <col min="3597" max="3840" width="9" style="928"/>
    <col min="3841" max="3841" width="3.875" style="928" customWidth="1"/>
    <col min="3842" max="3842" width="30.875" style="928" customWidth="1"/>
    <col min="3843" max="3843" width="11.75" style="928" customWidth="1"/>
    <col min="3844" max="3844" width="11.375" style="928" customWidth="1"/>
    <col min="3845" max="3845" width="14.5" style="928" bestFit="1" customWidth="1"/>
    <col min="3846" max="3846" width="14.125" style="928" customWidth="1"/>
    <col min="3847" max="3847" width="16.375" style="928" customWidth="1"/>
    <col min="3848" max="3848" width="15.625" style="928" customWidth="1"/>
    <col min="3849" max="3850" width="0" style="928" hidden="1" customWidth="1"/>
    <col min="3851" max="3851" width="37.875" style="928" customWidth="1"/>
    <col min="3852" max="3852" width="30" style="928" customWidth="1"/>
    <col min="3853" max="4096" width="9" style="928"/>
    <col min="4097" max="4097" width="3.875" style="928" customWidth="1"/>
    <col min="4098" max="4098" width="30.875" style="928" customWidth="1"/>
    <col min="4099" max="4099" width="11.75" style="928" customWidth="1"/>
    <col min="4100" max="4100" width="11.375" style="928" customWidth="1"/>
    <col min="4101" max="4101" width="14.5" style="928" bestFit="1" customWidth="1"/>
    <col min="4102" max="4102" width="14.125" style="928" customWidth="1"/>
    <col min="4103" max="4103" width="16.375" style="928" customWidth="1"/>
    <col min="4104" max="4104" width="15.625" style="928" customWidth="1"/>
    <col min="4105" max="4106" width="0" style="928" hidden="1" customWidth="1"/>
    <col min="4107" max="4107" width="37.875" style="928" customWidth="1"/>
    <col min="4108" max="4108" width="30" style="928" customWidth="1"/>
    <col min="4109" max="4352" width="9" style="928"/>
    <col min="4353" max="4353" width="3.875" style="928" customWidth="1"/>
    <col min="4354" max="4354" width="30.875" style="928" customWidth="1"/>
    <col min="4355" max="4355" width="11.75" style="928" customWidth="1"/>
    <col min="4356" max="4356" width="11.375" style="928" customWidth="1"/>
    <col min="4357" max="4357" width="14.5" style="928" bestFit="1" customWidth="1"/>
    <col min="4358" max="4358" width="14.125" style="928" customWidth="1"/>
    <col min="4359" max="4359" width="16.375" style="928" customWidth="1"/>
    <col min="4360" max="4360" width="15.625" style="928" customWidth="1"/>
    <col min="4361" max="4362" width="0" style="928" hidden="1" customWidth="1"/>
    <col min="4363" max="4363" width="37.875" style="928" customWidth="1"/>
    <col min="4364" max="4364" width="30" style="928" customWidth="1"/>
    <col min="4365" max="4608" width="9" style="928"/>
    <col min="4609" max="4609" width="3.875" style="928" customWidth="1"/>
    <col min="4610" max="4610" width="30.875" style="928" customWidth="1"/>
    <col min="4611" max="4611" width="11.75" style="928" customWidth="1"/>
    <col min="4612" max="4612" width="11.375" style="928" customWidth="1"/>
    <col min="4613" max="4613" width="14.5" style="928" bestFit="1" customWidth="1"/>
    <col min="4614" max="4614" width="14.125" style="928" customWidth="1"/>
    <col min="4615" max="4615" width="16.375" style="928" customWidth="1"/>
    <col min="4616" max="4616" width="15.625" style="928" customWidth="1"/>
    <col min="4617" max="4618" width="0" style="928" hidden="1" customWidth="1"/>
    <col min="4619" max="4619" width="37.875" style="928" customWidth="1"/>
    <col min="4620" max="4620" width="30" style="928" customWidth="1"/>
    <col min="4621" max="4864" width="9" style="928"/>
    <col min="4865" max="4865" width="3.875" style="928" customWidth="1"/>
    <col min="4866" max="4866" width="30.875" style="928" customWidth="1"/>
    <col min="4867" max="4867" width="11.75" style="928" customWidth="1"/>
    <col min="4868" max="4868" width="11.375" style="928" customWidth="1"/>
    <col min="4869" max="4869" width="14.5" style="928" bestFit="1" customWidth="1"/>
    <col min="4870" max="4870" width="14.125" style="928" customWidth="1"/>
    <col min="4871" max="4871" width="16.375" style="928" customWidth="1"/>
    <col min="4872" max="4872" width="15.625" style="928" customWidth="1"/>
    <col min="4873" max="4874" width="0" style="928" hidden="1" customWidth="1"/>
    <col min="4875" max="4875" width="37.875" style="928" customWidth="1"/>
    <col min="4876" max="4876" width="30" style="928" customWidth="1"/>
    <col min="4877" max="5120" width="9" style="928"/>
    <col min="5121" max="5121" width="3.875" style="928" customWidth="1"/>
    <col min="5122" max="5122" width="30.875" style="928" customWidth="1"/>
    <col min="5123" max="5123" width="11.75" style="928" customWidth="1"/>
    <col min="5124" max="5124" width="11.375" style="928" customWidth="1"/>
    <col min="5125" max="5125" width="14.5" style="928" bestFit="1" customWidth="1"/>
    <col min="5126" max="5126" width="14.125" style="928" customWidth="1"/>
    <col min="5127" max="5127" width="16.375" style="928" customWidth="1"/>
    <col min="5128" max="5128" width="15.625" style="928" customWidth="1"/>
    <col min="5129" max="5130" width="0" style="928" hidden="1" customWidth="1"/>
    <col min="5131" max="5131" width="37.875" style="928" customWidth="1"/>
    <col min="5132" max="5132" width="30" style="928" customWidth="1"/>
    <col min="5133" max="5376" width="9" style="928"/>
    <col min="5377" max="5377" width="3.875" style="928" customWidth="1"/>
    <col min="5378" max="5378" width="30.875" style="928" customWidth="1"/>
    <col min="5379" max="5379" width="11.75" style="928" customWidth="1"/>
    <col min="5380" max="5380" width="11.375" style="928" customWidth="1"/>
    <col min="5381" max="5381" width="14.5" style="928" bestFit="1" customWidth="1"/>
    <col min="5382" max="5382" width="14.125" style="928" customWidth="1"/>
    <col min="5383" max="5383" width="16.375" style="928" customWidth="1"/>
    <col min="5384" max="5384" width="15.625" style="928" customWidth="1"/>
    <col min="5385" max="5386" width="0" style="928" hidden="1" customWidth="1"/>
    <col min="5387" max="5387" width="37.875" style="928" customWidth="1"/>
    <col min="5388" max="5388" width="30" style="928" customWidth="1"/>
    <col min="5389" max="5632" width="9" style="928"/>
    <col min="5633" max="5633" width="3.875" style="928" customWidth="1"/>
    <col min="5634" max="5634" width="30.875" style="928" customWidth="1"/>
    <col min="5635" max="5635" width="11.75" style="928" customWidth="1"/>
    <col min="5636" max="5636" width="11.375" style="928" customWidth="1"/>
    <col min="5637" max="5637" width="14.5" style="928" bestFit="1" customWidth="1"/>
    <col min="5638" max="5638" width="14.125" style="928" customWidth="1"/>
    <col min="5639" max="5639" width="16.375" style="928" customWidth="1"/>
    <col min="5640" max="5640" width="15.625" style="928" customWidth="1"/>
    <col min="5641" max="5642" width="0" style="928" hidden="1" customWidth="1"/>
    <col min="5643" max="5643" width="37.875" style="928" customWidth="1"/>
    <col min="5644" max="5644" width="30" style="928" customWidth="1"/>
    <col min="5645" max="5888" width="9" style="928"/>
    <col min="5889" max="5889" width="3.875" style="928" customWidth="1"/>
    <col min="5890" max="5890" width="30.875" style="928" customWidth="1"/>
    <col min="5891" max="5891" width="11.75" style="928" customWidth="1"/>
    <col min="5892" max="5892" width="11.375" style="928" customWidth="1"/>
    <col min="5893" max="5893" width="14.5" style="928" bestFit="1" customWidth="1"/>
    <col min="5894" max="5894" width="14.125" style="928" customWidth="1"/>
    <col min="5895" max="5895" width="16.375" style="928" customWidth="1"/>
    <col min="5896" max="5896" width="15.625" style="928" customWidth="1"/>
    <col min="5897" max="5898" width="0" style="928" hidden="1" customWidth="1"/>
    <col min="5899" max="5899" width="37.875" style="928" customWidth="1"/>
    <col min="5900" max="5900" width="30" style="928" customWidth="1"/>
    <col min="5901" max="6144" width="9" style="928"/>
    <col min="6145" max="6145" width="3.875" style="928" customWidth="1"/>
    <col min="6146" max="6146" width="30.875" style="928" customWidth="1"/>
    <col min="6147" max="6147" width="11.75" style="928" customWidth="1"/>
    <col min="6148" max="6148" width="11.375" style="928" customWidth="1"/>
    <col min="6149" max="6149" width="14.5" style="928" bestFit="1" customWidth="1"/>
    <col min="6150" max="6150" width="14.125" style="928" customWidth="1"/>
    <col min="6151" max="6151" width="16.375" style="928" customWidth="1"/>
    <col min="6152" max="6152" width="15.625" style="928" customWidth="1"/>
    <col min="6153" max="6154" width="0" style="928" hidden="1" customWidth="1"/>
    <col min="6155" max="6155" width="37.875" style="928" customWidth="1"/>
    <col min="6156" max="6156" width="30" style="928" customWidth="1"/>
    <col min="6157" max="6400" width="9" style="928"/>
    <col min="6401" max="6401" width="3.875" style="928" customWidth="1"/>
    <col min="6402" max="6402" width="30.875" style="928" customWidth="1"/>
    <col min="6403" max="6403" width="11.75" style="928" customWidth="1"/>
    <col min="6404" max="6404" width="11.375" style="928" customWidth="1"/>
    <col min="6405" max="6405" width="14.5" style="928" bestFit="1" customWidth="1"/>
    <col min="6406" max="6406" width="14.125" style="928" customWidth="1"/>
    <col min="6407" max="6407" width="16.375" style="928" customWidth="1"/>
    <col min="6408" max="6408" width="15.625" style="928" customWidth="1"/>
    <col min="6409" max="6410" width="0" style="928" hidden="1" customWidth="1"/>
    <col min="6411" max="6411" width="37.875" style="928" customWidth="1"/>
    <col min="6412" max="6412" width="30" style="928" customWidth="1"/>
    <col min="6413" max="6656" width="9" style="928"/>
    <col min="6657" max="6657" width="3.875" style="928" customWidth="1"/>
    <col min="6658" max="6658" width="30.875" style="928" customWidth="1"/>
    <col min="6659" max="6659" width="11.75" style="928" customWidth="1"/>
    <col min="6660" max="6660" width="11.375" style="928" customWidth="1"/>
    <col min="6661" max="6661" width="14.5" style="928" bestFit="1" customWidth="1"/>
    <col min="6662" max="6662" width="14.125" style="928" customWidth="1"/>
    <col min="6663" max="6663" width="16.375" style="928" customWidth="1"/>
    <col min="6664" max="6664" width="15.625" style="928" customWidth="1"/>
    <col min="6665" max="6666" width="0" style="928" hidden="1" customWidth="1"/>
    <col min="6667" max="6667" width="37.875" style="928" customWidth="1"/>
    <col min="6668" max="6668" width="30" style="928" customWidth="1"/>
    <col min="6669" max="6912" width="9" style="928"/>
    <col min="6913" max="6913" width="3.875" style="928" customWidth="1"/>
    <col min="6914" max="6914" width="30.875" style="928" customWidth="1"/>
    <col min="6915" max="6915" width="11.75" style="928" customWidth="1"/>
    <col min="6916" max="6916" width="11.375" style="928" customWidth="1"/>
    <col min="6917" max="6917" width="14.5" style="928" bestFit="1" customWidth="1"/>
    <col min="6918" max="6918" width="14.125" style="928" customWidth="1"/>
    <col min="6919" max="6919" width="16.375" style="928" customWidth="1"/>
    <col min="6920" max="6920" width="15.625" style="928" customWidth="1"/>
    <col min="6921" max="6922" width="0" style="928" hidden="1" customWidth="1"/>
    <col min="6923" max="6923" width="37.875" style="928" customWidth="1"/>
    <col min="6924" max="6924" width="30" style="928" customWidth="1"/>
    <col min="6925" max="7168" width="9" style="928"/>
    <col min="7169" max="7169" width="3.875" style="928" customWidth="1"/>
    <col min="7170" max="7170" width="30.875" style="928" customWidth="1"/>
    <col min="7171" max="7171" width="11.75" style="928" customWidth="1"/>
    <col min="7172" max="7172" width="11.375" style="928" customWidth="1"/>
    <col min="7173" max="7173" width="14.5" style="928" bestFit="1" customWidth="1"/>
    <col min="7174" max="7174" width="14.125" style="928" customWidth="1"/>
    <col min="7175" max="7175" width="16.375" style="928" customWidth="1"/>
    <col min="7176" max="7176" width="15.625" style="928" customWidth="1"/>
    <col min="7177" max="7178" width="0" style="928" hidden="1" customWidth="1"/>
    <col min="7179" max="7179" width="37.875" style="928" customWidth="1"/>
    <col min="7180" max="7180" width="30" style="928" customWidth="1"/>
    <col min="7181" max="7424" width="9" style="928"/>
    <col min="7425" max="7425" width="3.875" style="928" customWidth="1"/>
    <col min="7426" max="7426" width="30.875" style="928" customWidth="1"/>
    <col min="7427" max="7427" width="11.75" style="928" customWidth="1"/>
    <col min="7428" max="7428" width="11.375" style="928" customWidth="1"/>
    <col min="7429" max="7429" width="14.5" style="928" bestFit="1" customWidth="1"/>
    <col min="7430" max="7430" width="14.125" style="928" customWidth="1"/>
    <col min="7431" max="7431" width="16.375" style="928" customWidth="1"/>
    <col min="7432" max="7432" width="15.625" style="928" customWidth="1"/>
    <col min="7433" max="7434" width="0" style="928" hidden="1" customWidth="1"/>
    <col min="7435" max="7435" width="37.875" style="928" customWidth="1"/>
    <col min="7436" max="7436" width="30" style="928" customWidth="1"/>
    <col min="7437" max="7680" width="9" style="928"/>
    <col min="7681" max="7681" width="3.875" style="928" customWidth="1"/>
    <col min="7682" max="7682" width="30.875" style="928" customWidth="1"/>
    <col min="7683" max="7683" width="11.75" style="928" customWidth="1"/>
    <col min="7684" max="7684" width="11.375" style="928" customWidth="1"/>
    <col min="7685" max="7685" width="14.5" style="928" bestFit="1" customWidth="1"/>
    <col min="7686" max="7686" width="14.125" style="928" customWidth="1"/>
    <col min="7687" max="7687" width="16.375" style="928" customWidth="1"/>
    <col min="7688" max="7688" width="15.625" style="928" customWidth="1"/>
    <col min="7689" max="7690" width="0" style="928" hidden="1" customWidth="1"/>
    <col min="7691" max="7691" width="37.875" style="928" customWidth="1"/>
    <col min="7692" max="7692" width="30" style="928" customWidth="1"/>
    <col min="7693" max="7936" width="9" style="928"/>
    <col min="7937" max="7937" width="3.875" style="928" customWidth="1"/>
    <col min="7938" max="7938" width="30.875" style="928" customWidth="1"/>
    <col min="7939" max="7939" width="11.75" style="928" customWidth="1"/>
    <col min="7940" max="7940" width="11.375" style="928" customWidth="1"/>
    <col min="7941" max="7941" width="14.5" style="928" bestFit="1" customWidth="1"/>
    <col min="7942" max="7942" width="14.125" style="928" customWidth="1"/>
    <col min="7943" max="7943" width="16.375" style="928" customWidth="1"/>
    <col min="7944" max="7944" width="15.625" style="928" customWidth="1"/>
    <col min="7945" max="7946" width="0" style="928" hidden="1" customWidth="1"/>
    <col min="7947" max="7947" width="37.875" style="928" customWidth="1"/>
    <col min="7948" max="7948" width="30" style="928" customWidth="1"/>
    <col min="7949" max="8192" width="9" style="928"/>
    <col min="8193" max="8193" width="3.875" style="928" customWidth="1"/>
    <col min="8194" max="8194" width="30.875" style="928" customWidth="1"/>
    <col min="8195" max="8195" width="11.75" style="928" customWidth="1"/>
    <col min="8196" max="8196" width="11.375" style="928" customWidth="1"/>
    <col min="8197" max="8197" width="14.5" style="928" bestFit="1" customWidth="1"/>
    <col min="8198" max="8198" width="14.125" style="928" customWidth="1"/>
    <col min="8199" max="8199" width="16.375" style="928" customWidth="1"/>
    <col min="8200" max="8200" width="15.625" style="928" customWidth="1"/>
    <col min="8201" max="8202" width="0" style="928" hidden="1" customWidth="1"/>
    <col min="8203" max="8203" width="37.875" style="928" customWidth="1"/>
    <col min="8204" max="8204" width="30" style="928" customWidth="1"/>
    <col min="8205" max="8448" width="9" style="928"/>
    <col min="8449" max="8449" width="3.875" style="928" customWidth="1"/>
    <col min="8450" max="8450" width="30.875" style="928" customWidth="1"/>
    <col min="8451" max="8451" width="11.75" style="928" customWidth="1"/>
    <col min="8452" max="8452" width="11.375" style="928" customWidth="1"/>
    <col min="8453" max="8453" width="14.5" style="928" bestFit="1" customWidth="1"/>
    <col min="8454" max="8454" width="14.125" style="928" customWidth="1"/>
    <col min="8455" max="8455" width="16.375" style="928" customWidth="1"/>
    <col min="8456" max="8456" width="15.625" style="928" customWidth="1"/>
    <col min="8457" max="8458" width="0" style="928" hidden="1" customWidth="1"/>
    <col min="8459" max="8459" width="37.875" style="928" customWidth="1"/>
    <col min="8460" max="8460" width="30" style="928" customWidth="1"/>
    <col min="8461" max="8704" width="9" style="928"/>
    <col min="8705" max="8705" width="3.875" style="928" customWidth="1"/>
    <col min="8706" max="8706" width="30.875" style="928" customWidth="1"/>
    <col min="8707" max="8707" width="11.75" style="928" customWidth="1"/>
    <col min="8708" max="8708" width="11.375" style="928" customWidth="1"/>
    <col min="8709" max="8709" width="14.5" style="928" bestFit="1" customWidth="1"/>
    <col min="8710" max="8710" width="14.125" style="928" customWidth="1"/>
    <col min="8711" max="8711" width="16.375" style="928" customWidth="1"/>
    <col min="8712" max="8712" width="15.625" style="928" customWidth="1"/>
    <col min="8713" max="8714" width="0" style="928" hidden="1" customWidth="1"/>
    <col min="8715" max="8715" width="37.875" style="928" customWidth="1"/>
    <col min="8716" max="8716" width="30" style="928" customWidth="1"/>
    <col min="8717" max="8960" width="9" style="928"/>
    <col min="8961" max="8961" width="3.875" style="928" customWidth="1"/>
    <col min="8962" max="8962" width="30.875" style="928" customWidth="1"/>
    <col min="8963" max="8963" width="11.75" style="928" customWidth="1"/>
    <col min="8964" max="8964" width="11.375" style="928" customWidth="1"/>
    <col min="8965" max="8965" width="14.5" style="928" bestFit="1" customWidth="1"/>
    <col min="8966" max="8966" width="14.125" style="928" customWidth="1"/>
    <col min="8967" max="8967" width="16.375" style="928" customWidth="1"/>
    <col min="8968" max="8968" width="15.625" style="928" customWidth="1"/>
    <col min="8969" max="8970" width="0" style="928" hidden="1" customWidth="1"/>
    <col min="8971" max="8971" width="37.875" style="928" customWidth="1"/>
    <col min="8972" max="8972" width="30" style="928" customWidth="1"/>
    <col min="8973" max="9216" width="9" style="928"/>
    <col min="9217" max="9217" width="3.875" style="928" customWidth="1"/>
    <col min="9218" max="9218" width="30.875" style="928" customWidth="1"/>
    <col min="9219" max="9219" width="11.75" style="928" customWidth="1"/>
    <col min="9220" max="9220" width="11.375" style="928" customWidth="1"/>
    <col min="9221" max="9221" width="14.5" style="928" bestFit="1" customWidth="1"/>
    <col min="9222" max="9222" width="14.125" style="928" customWidth="1"/>
    <col min="9223" max="9223" width="16.375" style="928" customWidth="1"/>
    <col min="9224" max="9224" width="15.625" style="928" customWidth="1"/>
    <col min="9225" max="9226" width="0" style="928" hidden="1" customWidth="1"/>
    <col min="9227" max="9227" width="37.875" style="928" customWidth="1"/>
    <col min="9228" max="9228" width="30" style="928" customWidth="1"/>
    <col min="9229" max="9472" width="9" style="928"/>
    <col min="9473" max="9473" width="3.875" style="928" customWidth="1"/>
    <col min="9474" max="9474" width="30.875" style="928" customWidth="1"/>
    <col min="9475" max="9475" width="11.75" style="928" customWidth="1"/>
    <col min="9476" max="9476" width="11.375" style="928" customWidth="1"/>
    <col min="9477" max="9477" width="14.5" style="928" bestFit="1" customWidth="1"/>
    <col min="9478" max="9478" width="14.125" style="928" customWidth="1"/>
    <col min="9479" max="9479" width="16.375" style="928" customWidth="1"/>
    <col min="9480" max="9480" width="15.625" style="928" customWidth="1"/>
    <col min="9481" max="9482" width="0" style="928" hidden="1" customWidth="1"/>
    <col min="9483" max="9483" width="37.875" style="928" customWidth="1"/>
    <col min="9484" max="9484" width="30" style="928" customWidth="1"/>
    <col min="9485" max="9728" width="9" style="928"/>
    <col min="9729" max="9729" width="3.875" style="928" customWidth="1"/>
    <col min="9730" max="9730" width="30.875" style="928" customWidth="1"/>
    <col min="9731" max="9731" width="11.75" style="928" customWidth="1"/>
    <col min="9732" max="9732" width="11.375" style="928" customWidth="1"/>
    <col min="9733" max="9733" width="14.5" style="928" bestFit="1" customWidth="1"/>
    <col min="9734" max="9734" width="14.125" style="928" customWidth="1"/>
    <col min="9735" max="9735" width="16.375" style="928" customWidth="1"/>
    <col min="9736" max="9736" width="15.625" style="928" customWidth="1"/>
    <col min="9737" max="9738" width="0" style="928" hidden="1" customWidth="1"/>
    <col min="9739" max="9739" width="37.875" style="928" customWidth="1"/>
    <col min="9740" max="9740" width="30" style="928" customWidth="1"/>
    <col min="9741" max="9984" width="9" style="928"/>
    <col min="9985" max="9985" width="3.875" style="928" customWidth="1"/>
    <col min="9986" max="9986" width="30.875" style="928" customWidth="1"/>
    <col min="9987" max="9987" width="11.75" style="928" customWidth="1"/>
    <col min="9988" max="9988" width="11.375" style="928" customWidth="1"/>
    <col min="9989" max="9989" width="14.5" style="928" bestFit="1" customWidth="1"/>
    <col min="9990" max="9990" width="14.125" style="928" customWidth="1"/>
    <col min="9991" max="9991" width="16.375" style="928" customWidth="1"/>
    <col min="9992" max="9992" width="15.625" style="928" customWidth="1"/>
    <col min="9993" max="9994" width="0" style="928" hidden="1" customWidth="1"/>
    <col min="9995" max="9995" width="37.875" style="928" customWidth="1"/>
    <col min="9996" max="9996" width="30" style="928" customWidth="1"/>
    <col min="9997" max="10240" width="9" style="928"/>
    <col min="10241" max="10241" width="3.875" style="928" customWidth="1"/>
    <col min="10242" max="10242" width="30.875" style="928" customWidth="1"/>
    <col min="10243" max="10243" width="11.75" style="928" customWidth="1"/>
    <col min="10244" max="10244" width="11.375" style="928" customWidth="1"/>
    <col min="10245" max="10245" width="14.5" style="928" bestFit="1" customWidth="1"/>
    <col min="10246" max="10246" width="14.125" style="928" customWidth="1"/>
    <col min="10247" max="10247" width="16.375" style="928" customWidth="1"/>
    <col min="10248" max="10248" width="15.625" style="928" customWidth="1"/>
    <col min="10249" max="10250" width="0" style="928" hidden="1" customWidth="1"/>
    <col min="10251" max="10251" width="37.875" style="928" customWidth="1"/>
    <col min="10252" max="10252" width="30" style="928" customWidth="1"/>
    <col min="10253" max="10496" width="9" style="928"/>
    <col min="10497" max="10497" width="3.875" style="928" customWidth="1"/>
    <col min="10498" max="10498" width="30.875" style="928" customWidth="1"/>
    <col min="10499" max="10499" width="11.75" style="928" customWidth="1"/>
    <col min="10500" max="10500" width="11.375" style="928" customWidth="1"/>
    <col min="10501" max="10501" width="14.5" style="928" bestFit="1" customWidth="1"/>
    <col min="10502" max="10502" width="14.125" style="928" customWidth="1"/>
    <col min="10503" max="10503" width="16.375" style="928" customWidth="1"/>
    <col min="10504" max="10504" width="15.625" style="928" customWidth="1"/>
    <col min="10505" max="10506" width="0" style="928" hidden="1" customWidth="1"/>
    <col min="10507" max="10507" width="37.875" style="928" customWidth="1"/>
    <col min="10508" max="10508" width="30" style="928" customWidth="1"/>
    <col min="10509" max="10752" width="9" style="928"/>
    <col min="10753" max="10753" width="3.875" style="928" customWidth="1"/>
    <col min="10754" max="10754" width="30.875" style="928" customWidth="1"/>
    <col min="10755" max="10755" width="11.75" style="928" customWidth="1"/>
    <col min="10756" max="10756" width="11.375" style="928" customWidth="1"/>
    <col min="10757" max="10757" width="14.5" style="928" bestFit="1" customWidth="1"/>
    <col min="10758" max="10758" width="14.125" style="928" customWidth="1"/>
    <col min="10759" max="10759" width="16.375" style="928" customWidth="1"/>
    <col min="10760" max="10760" width="15.625" style="928" customWidth="1"/>
    <col min="10761" max="10762" width="0" style="928" hidden="1" customWidth="1"/>
    <col min="10763" max="10763" width="37.875" style="928" customWidth="1"/>
    <col min="10764" max="10764" width="30" style="928" customWidth="1"/>
    <col min="10765" max="11008" width="9" style="928"/>
    <col min="11009" max="11009" width="3.875" style="928" customWidth="1"/>
    <col min="11010" max="11010" width="30.875" style="928" customWidth="1"/>
    <col min="11011" max="11011" width="11.75" style="928" customWidth="1"/>
    <col min="11012" max="11012" width="11.375" style="928" customWidth="1"/>
    <col min="11013" max="11013" width="14.5" style="928" bestFit="1" customWidth="1"/>
    <col min="11014" max="11014" width="14.125" style="928" customWidth="1"/>
    <col min="11015" max="11015" width="16.375" style="928" customWidth="1"/>
    <col min="11016" max="11016" width="15.625" style="928" customWidth="1"/>
    <col min="11017" max="11018" width="0" style="928" hidden="1" customWidth="1"/>
    <col min="11019" max="11019" width="37.875" style="928" customWidth="1"/>
    <col min="11020" max="11020" width="30" style="928" customWidth="1"/>
    <col min="11021" max="11264" width="9" style="928"/>
    <col min="11265" max="11265" width="3.875" style="928" customWidth="1"/>
    <col min="11266" max="11266" width="30.875" style="928" customWidth="1"/>
    <col min="11267" max="11267" width="11.75" style="928" customWidth="1"/>
    <col min="11268" max="11268" width="11.375" style="928" customWidth="1"/>
    <col min="11269" max="11269" width="14.5" style="928" bestFit="1" customWidth="1"/>
    <col min="11270" max="11270" width="14.125" style="928" customWidth="1"/>
    <col min="11271" max="11271" width="16.375" style="928" customWidth="1"/>
    <col min="11272" max="11272" width="15.625" style="928" customWidth="1"/>
    <col min="11273" max="11274" width="0" style="928" hidden="1" customWidth="1"/>
    <col min="11275" max="11275" width="37.875" style="928" customWidth="1"/>
    <col min="11276" max="11276" width="30" style="928" customWidth="1"/>
    <col min="11277" max="11520" width="9" style="928"/>
    <col min="11521" max="11521" width="3.875" style="928" customWidth="1"/>
    <col min="11522" max="11522" width="30.875" style="928" customWidth="1"/>
    <col min="11523" max="11523" width="11.75" style="928" customWidth="1"/>
    <col min="11524" max="11524" width="11.375" style="928" customWidth="1"/>
    <col min="11525" max="11525" width="14.5" style="928" bestFit="1" customWidth="1"/>
    <col min="11526" max="11526" width="14.125" style="928" customWidth="1"/>
    <col min="11527" max="11527" width="16.375" style="928" customWidth="1"/>
    <col min="11528" max="11528" width="15.625" style="928" customWidth="1"/>
    <col min="11529" max="11530" width="0" style="928" hidden="1" customWidth="1"/>
    <col min="11531" max="11531" width="37.875" style="928" customWidth="1"/>
    <col min="11532" max="11532" width="30" style="928" customWidth="1"/>
    <col min="11533" max="11776" width="9" style="928"/>
    <col min="11777" max="11777" width="3.875" style="928" customWidth="1"/>
    <col min="11778" max="11778" width="30.875" style="928" customWidth="1"/>
    <col min="11779" max="11779" width="11.75" style="928" customWidth="1"/>
    <col min="11780" max="11780" width="11.375" style="928" customWidth="1"/>
    <col min="11781" max="11781" width="14.5" style="928" bestFit="1" customWidth="1"/>
    <col min="11782" max="11782" width="14.125" style="928" customWidth="1"/>
    <col min="11783" max="11783" width="16.375" style="928" customWidth="1"/>
    <col min="11784" max="11784" width="15.625" style="928" customWidth="1"/>
    <col min="11785" max="11786" width="0" style="928" hidden="1" customWidth="1"/>
    <col min="11787" max="11787" width="37.875" style="928" customWidth="1"/>
    <col min="11788" max="11788" width="30" style="928" customWidth="1"/>
    <col min="11789" max="12032" width="9" style="928"/>
    <col min="12033" max="12033" width="3.875" style="928" customWidth="1"/>
    <col min="12034" max="12034" width="30.875" style="928" customWidth="1"/>
    <col min="12035" max="12035" width="11.75" style="928" customWidth="1"/>
    <col min="12036" max="12036" width="11.375" style="928" customWidth="1"/>
    <col min="12037" max="12037" width="14.5" style="928" bestFit="1" customWidth="1"/>
    <col min="12038" max="12038" width="14.125" style="928" customWidth="1"/>
    <col min="12039" max="12039" width="16.375" style="928" customWidth="1"/>
    <col min="12040" max="12040" width="15.625" style="928" customWidth="1"/>
    <col min="12041" max="12042" width="0" style="928" hidden="1" customWidth="1"/>
    <col min="12043" max="12043" width="37.875" style="928" customWidth="1"/>
    <col min="12044" max="12044" width="30" style="928" customWidth="1"/>
    <col min="12045" max="12288" width="9" style="928"/>
    <col min="12289" max="12289" width="3.875" style="928" customWidth="1"/>
    <col min="12290" max="12290" width="30.875" style="928" customWidth="1"/>
    <col min="12291" max="12291" width="11.75" style="928" customWidth="1"/>
    <col min="12292" max="12292" width="11.375" style="928" customWidth="1"/>
    <col min="12293" max="12293" width="14.5" style="928" bestFit="1" customWidth="1"/>
    <col min="12294" max="12294" width="14.125" style="928" customWidth="1"/>
    <col min="12295" max="12295" width="16.375" style="928" customWidth="1"/>
    <col min="12296" max="12296" width="15.625" style="928" customWidth="1"/>
    <col min="12297" max="12298" width="0" style="928" hidden="1" customWidth="1"/>
    <col min="12299" max="12299" width="37.875" style="928" customWidth="1"/>
    <col min="12300" max="12300" width="30" style="928" customWidth="1"/>
    <col min="12301" max="12544" width="9" style="928"/>
    <col min="12545" max="12545" width="3.875" style="928" customWidth="1"/>
    <col min="12546" max="12546" width="30.875" style="928" customWidth="1"/>
    <col min="12547" max="12547" width="11.75" style="928" customWidth="1"/>
    <col min="12548" max="12548" width="11.375" style="928" customWidth="1"/>
    <col min="12549" max="12549" width="14.5" style="928" bestFit="1" customWidth="1"/>
    <col min="12550" max="12550" width="14.125" style="928" customWidth="1"/>
    <col min="12551" max="12551" width="16.375" style="928" customWidth="1"/>
    <col min="12552" max="12552" width="15.625" style="928" customWidth="1"/>
    <col min="12553" max="12554" width="0" style="928" hidden="1" customWidth="1"/>
    <col min="12555" max="12555" width="37.875" style="928" customWidth="1"/>
    <col min="12556" max="12556" width="30" style="928" customWidth="1"/>
    <col min="12557" max="12800" width="9" style="928"/>
    <col min="12801" max="12801" width="3.875" style="928" customWidth="1"/>
    <col min="12802" max="12802" width="30.875" style="928" customWidth="1"/>
    <col min="12803" max="12803" width="11.75" style="928" customWidth="1"/>
    <col min="12804" max="12804" width="11.375" style="928" customWidth="1"/>
    <col min="12805" max="12805" width="14.5" style="928" bestFit="1" customWidth="1"/>
    <col min="12806" max="12806" width="14.125" style="928" customWidth="1"/>
    <col min="12807" max="12807" width="16.375" style="928" customWidth="1"/>
    <col min="12808" max="12808" width="15.625" style="928" customWidth="1"/>
    <col min="12809" max="12810" width="0" style="928" hidden="1" customWidth="1"/>
    <col min="12811" max="12811" width="37.875" style="928" customWidth="1"/>
    <col min="12812" max="12812" width="30" style="928" customWidth="1"/>
    <col min="12813" max="13056" width="9" style="928"/>
    <col min="13057" max="13057" width="3.875" style="928" customWidth="1"/>
    <col min="13058" max="13058" width="30.875" style="928" customWidth="1"/>
    <col min="13059" max="13059" width="11.75" style="928" customWidth="1"/>
    <col min="13060" max="13060" width="11.375" style="928" customWidth="1"/>
    <col min="13061" max="13061" width="14.5" style="928" bestFit="1" customWidth="1"/>
    <col min="13062" max="13062" width="14.125" style="928" customWidth="1"/>
    <col min="13063" max="13063" width="16.375" style="928" customWidth="1"/>
    <col min="13064" max="13064" width="15.625" style="928" customWidth="1"/>
    <col min="13065" max="13066" width="0" style="928" hidden="1" customWidth="1"/>
    <col min="13067" max="13067" width="37.875" style="928" customWidth="1"/>
    <col min="13068" max="13068" width="30" style="928" customWidth="1"/>
    <col min="13069" max="13312" width="9" style="928"/>
    <col min="13313" max="13313" width="3.875" style="928" customWidth="1"/>
    <col min="13314" max="13314" width="30.875" style="928" customWidth="1"/>
    <col min="13315" max="13315" width="11.75" style="928" customWidth="1"/>
    <col min="13316" max="13316" width="11.375" style="928" customWidth="1"/>
    <col min="13317" max="13317" width="14.5" style="928" bestFit="1" customWidth="1"/>
    <col min="13318" max="13318" width="14.125" style="928" customWidth="1"/>
    <col min="13319" max="13319" width="16.375" style="928" customWidth="1"/>
    <col min="13320" max="13320" width="15.625" style="928" customWidth="1"/>
    <col min="13321" max="13322" width="0" style="928" hidden="1" customWidth="1"/>
    <col min="13323" max="13323" width="37.875" style="928" customWidth="1"/>
    <col min="13324" max="13324" width="30" style="928" customWidth="1"/>
    <col min="13325" max="13568" width="9" style="928"/>
    <col min="13569" max="13569" width="3.875" style="928" customWidth="1"/>
    <col min="13570" max="13570" width="30.875" style="928" customWidth="1"/>
    <col min="13571" max="13571" width="11.75" style="928" customWidth="1"/>
    <col min="13572" max="13572" width="11.375" style="928" customWidth="1"/>
    <col min="13573" max="13573" width="14.5" style="928" bestFit="1" customWidth="1"/>
    <col min="13574" max="13574" width="14.125" style="928" customWidth="1"/>
    <col min="13575" max="13575" width="16.375" style="928" customWidth="1"/>
    <col min="13576" max="13576" width="15.625" style="928" customWidth="1"/>
    <col min="13577" max="13578" width="0" style="928" hidden="1" customWidth="1"/>
    <col min="13579" max="13579" width="37.875" style="928" customWidth="1"/>
    <col min="13580" max="13580" width="30" style="928" customWidth="1"/>
    <col min="13581" max="13824" width="9" style="928"/>
    <col min="13825" max="13825" width="3.875" style="928" customWidth="1"/>
    <col min="13826" max="13826" width="30.875" style="928" customWidth="1"/>
    <col min="13827" max="13827" width="11.75" style="928" customWidth="1"/>
    <col min="13828" max="13828" width="11.375" style="928" customWidth="1"/>
    <col min="13829" max="13829" width="14.5" style="928" bestFit="1" customWidth="1"/>
    <col min="13830" max="13830" width="14.125" style="928" customWidth="1"/>
    <col min="13831" max="13831" width="16.375" style="928" customWidth="1"/>
    <col min="13832" max="13832" width="15.625" style="928" customWidth="1"/>
    <col min="13833" max="13834" width="0" style="928" hidden="1" customWidth="1"/>
    <col min="13835" max="13835" width="37.875" style="928" customWidth="1"/>
    <col min="13836" max="13836" width="30" style="928" customWidth="1"/>
    <col min="13837" max="14080" width="9" style="928"/>
    <col min="14081" max="14081" width="3.875" style="928" customWidth="1"/>
    <col min="14082" max="14082" width="30.875" style="928" customWidth="1"/>
    <col min="14083" max="14083" width="11.75" style="928" customWidth="1"/>
    <col min="14084" max="14084" width="11.375" style="928" customWidth="1"/>
    <col min="14085" max="14085" width="14.5" style="928" bestFit="1" customWidth="1"/>
    <col min="14086" max="14086" width="14.125" style="928" customWidth="1"/>
    <col min="14087" max="14087" width="16.375" style="928" customWidth="1"/>
    <col min="14088" max="14088" width="15.625" style="928" customWidth="1"/>
    <col min="14089" max="14090" width="0" style="928" hidden="1" customWidth="1"/>
    <col min="14091" max="14091" width="37.875" style="928" customWidth="1"/>
    <col min="14092" max="14092" width="30" style="928" customWidth="1"/>
    <col min="14093" max="14336" width="9" style="928"/>
    <col min="14337" max="14337" width="3.875" style="928" customWidth="1"/>
    <col min="14338" max="14338" width="30.875" style="928" customWidth="1"/>
    <col min="14339" max="14339" width="11.75" style="928" customWidth="1"/>
    <col min="14340" max="14340" width="11.375" style="928" customWidth="1"/>
    <col min="14341" max="14341" width="14.5" style="928" bestFit="1" customWidth="1"/>
    <col min="14342" max="14342" width="14.125" style="928" customWidth="1"/>
    <col min="14343" max="14343" width="16.375" style="928" customWidth="1"/>
    <col min="14344" max="14344" width="15.625" style="928" customWidth="1"/>
    <col min="14345" max="14346" width="0" style="928" hidden="1" customWidth="1"/>
    <col min="14347" max="14347" width="37.875" style="928" customWidth="1"/>
    <col min="14348" max="14348" width="30" style="928" customWidth="1"/>
    <col min="14349" max="14592" width="9" style="928"/>
    <col min="14593" max="14593" width="3.875" style="928" customWidth="1"/>
    <col min="14594" max="14594" width="30.875" style="928" customWidth="1"/>
    <col min="14595" max="14595" width="11.75" style="928" customWidth="1"/>
    <col min="14596" max="14596" width="11.375" style="928" customWidth="1"/>
    <col min="14597" max="14597" width="14.5" style="928" bestFit="1" customWidth="1"/>
    <col min="14598" max="14598" width="14.125" style="928" customWidth="1"/>
    <col min="14599" max="14599" width="16.375" style="928" customWidth="1"/>
    <col min="14600" max="14600" width="15.625" style="928" customWidth="1"/>
    <col min="14601" max="14602" width="0" style="928" hidden="1" customWidth="1"/>
    <col min="14603" max="14603" width="37.875" style="928" customWidth="1"/>
    <col min="14604" max="14604" width="30" style="928" customWidth="1"/>
    <col min="14605" max="14848" width="9" style="928"/>
    <col min="14849" max="14849" width="3.875" style="928" customWidth="1"/>
    <col min="14850" max="14850" width="30.875" style="928" customWidth="1"/>
    <col min="14851" max="14851" width="11.75" style="928" customWidth="1"/>
    <col min="14852" max="14852" width="11.375" style="928" customWidth="1"/>
    <col min="14853" max="14853" width="14.5" style="928" bestFit="1" customWidth="1"/>
    <col min="14854" max="14854" width="14.125" style="928" customWidth="1"/>
    <col min="14855" max="14855" width="16.375" style="928" customWidth="1"/>
    <col min="14856" max="14856" width="15.625" style="928" customWidth="1"/>
    <col min="14857" max="14858" width="0" style="928" hidden="1" customWidth="1"/>
    <col min="14859" max="14859" width="37.875" style="928" customWidth="1"/>
    <col min="14860" max="14860" width="30" style="928" customWidth="1"/>
    <col min="14861" max="15104" width="9" style="928"/>
    <col min="15105" max="15105" width="3.875" style="928" customWidth="1"/>
    <col min="15106" max="15106" width="30.875" style="928" customWidth="1"/>
    <col min="15107" max="15107" width="11.75" style="928" customWidth="1"/>
    <col min="15108" max="15108" width="11.375" style="928" customWidth="1"/>
    <col min="15109" max="15109" width="14.5" style="928" bestFit="1" customWidth="1"/>
    <col min="15110" max="15110" width="14.125" style="928" customWidth="1"/>
    <col min="15111" max="15111" width="16.375" style="928" customWidth="1"/>
    <col min="15112" max="15112" width="15.625" style="928" customWidth="1"/>
    <col min="15113" max="15114" width="0" style="928" hidden="1" customWidth="1"/>
    <col min="15115" max="15115" width="37.875" style="928" customWidth="1"/>
    <col min="15116" max="15116" width="30" style="928" customWidth="1"/>
    <col min="15117" max="15360" width="9" style="928"/>
    <col min="15361" max="15361" width="3.875" style="928" customWidth="1"/>
    <col min="15362" max="15362" width="30.875" style="928" customWidth="1"/>
    <col min="15363" max="15363" width="11.75" style="928" customWidth="1"/>
    <col min="15364" max="15364" width="11.375" style="928" customWidth="1"/>
    <col min="15365" max="15365" width="14.5" style="928" bestFit="1" customWidth="1"/>
    <col min="15366" max="15366" width="14.125" style="928" customWidth="1"/>
    <col min="15367" max="15367" width="16.375" style="928" customWidth="1"/>
    <col min="15368" max="15368" width="15.625" style="928" customWidth="1"/>
    <col min="15369" max="15370" width="0" style="928" hidden="1" customWidth="1"/>
    <col min="15371" max="15371" width="37.875" style="928" customWidth="1"/>
    <col min="15372" max="15372" width="30" style="928" customWidth="1"/>
    <col min="15373" max="15616" width="9" style="928"/>
    <col min="15617" max="15617" width="3.875" style="928" customWidth="1"/>
    <col min="15618" max="15618" width="30.875" style="928" customWidth="1"/>
    <col min="15619" max="15619" width="11.75" style="928" customWidth="1"/>
    <col min="15620" max="15620" width="11.375" style="928" customWidth="1"/>
    <col min="15621" max="15621" width="14.5" style="928" bestFit="1" customWidth="1"/>
    <col min="15622" max="15622" width="14.125" style="928" customWidth="1"/>
    <col min="15623" max="15623" width="16.375" style="928" customWidth="1"/>
    <col min="15624" max="15624" width="15.625" style="928" customWidth="1"/>
    <col min="15625" max="15626" width="0" style="928" hidden="1" customWidth="1"/>
    <col min="15627" max="15627" width="37.875" style="928" customWidth="1"/>
    <col min="15628" max="15628" width="30" style="928" customWidth="1"/>
    <col min="15629" max="15872" width="9" style="928"/>
    <col min="15873" max="15873" width="3.875" style="928" customWidth="1"/>
    <col min="15874" max="15874" width="30.875" style="928" customWidth="1"/>
    <col min="15875" max="15875" width="11.75" style="928" customWidth="1"/>
    <col min="15876" max="15876" width="11.375" style="928" customWidth="1"/>
    <col min="15877" max="15877" width="14.5" style="928" bestFit="1" customWidth="1"/>
    <col min="15878" max="15878" width="14.125" style="928" customWidth="1"/>
    <col min="15879" max="15879" width="16.375" style="928" customWidth="1"/>
    <col min="15880" max="15880" width="15.625" style="928" customWidth="1"/>
    <col min="15881" max="15882" width="0" style="928" hidden="1" customWidth="1"/>
    <col min="15883" max="15883" width="37.875" style="928" customWidth="1"/>
    <col min="15884" max="15884" width="30" style="928" customWidth="1"/>
    <col min="15885" max="16128" width="9" style="928"/>
    <col min="16129" max="16129" width="3.875" style="928" customWidth="1"/>
    <col min="16130" max="16130" width="30.875" style="928" customWidth="1"/>
    <col min="16131" max="16131" width="11.75" style="928" customWidth="1"/>
    <col min="16132" max="16132" width="11.375" style="928" customWidth="1"/>
    <col min="16133" max="16133" width="14.5" style="928" bestFit="1" customWidth="1"/>
    <col min="16134" max="16134" width="14.125" style="928" customWidth="1"/>
    <col min="16135" max="16135" width="16.375" style="928" customWidth="1"/>
    <col min="16136" max="16136" width="15.625" style="928" customWidth="1"/>
    <col min="16137" max="16138" width="0" style="928" hidden="1" customWidth="1"/>
    <col min="16139" max="16139" width="37.875" style="928" customWidth="1"/>
    <col min="16140" max="16140" width="30" style="928" customWidth="1"/>
    <col min="16141" max="16384" width="9" style="928"/>
  </cols>
  <sheetData>
    <row r="1" spans="1:12" s="911" customFormat="1">
      <c r="A1" s="1165" t="s">
        <v>860</v>
      </c>
      <c r="B1" s="1165"/>
      <c r="C1" s="1165"/>
      <c r="D1" s="1165"/>
      <c r="E1" s="1165"/>
      <c r="F1" s="1165"/>
      <c r="G1" s="1165"/>
      <c r="H1" s="1165"/>
      <c r="I1" s="1165"/>
      <c r="J1" s="1165"/>
      <c r="K1" s="1165"/>
      <c r="L1" s="1165"/>
    </row>
    <row r="2" spans="1:12" s="911" customFormat="1">
      <c r="A2" s="1165" t="s">
        <v>861</v>
      </c>
      <c r="B2" s="1165"/>
      <c r="C2" s="1165"/>
      <c r="D2" s="1165"/>
      <c r="E2" s="1165"/>
      <c r="F2" s="1165"/>
      <c r="G2" s="1165"/>
      <c r="H2" s="1165"/>
      <c r="I2" s="1165"/>
      <c r="J2" s="1165"/>
      <c r="K2" s="1165"/>
      <c r="L2" s="1165"/>
    </row>
    <row r="3" spans="1:12" s="911" customFormat="1">
      <c r="A3" s="1166" t="str">
        <f>+'[29]สรุป (ใหม่)'!A3</f>
        <v>ณ วันที่ 31 ธันวาคม 2565</v>
      </c>
      <c r="B3" s="1166"/>
      <c r="C3" s="1166"/>
      <c r="D3" s="1166"/>
      <c r="E3" s="1166"/>
      <c r="F3" s="1166"/>
      <c r="G3" s="1166"/>
      <c r="H3" s="1166"/>
      <c r="I3" s="1166"/>
      <c r="J3" s="1166"/>
      <c r="K3" s="1166"/>
      <c r="L3" s="1166"/>
    </row>
    <row r="4" spans="1:12" s="911" customFormat="1">
      <c r="A4" s="1167"/>
      <c r="B4" s="1167"/>
      <c r="C4" s="1167"/>
      <c r="D4" s="1167"/>
      <c r="E4" s="1167"/>
      <c r="F4" s="1167"/>
      <c r="G4" s="1167"/>
      <c r="H4" s="1167"/>
      <c r="I4" s="1167"/>
      <c r="J4" s="1167"/>
      <c r="K4" s="1167"/>
      <c r="L4" s="1167"/>
    </row>
    <row r="5" spans="1:12" s="917" customFormat="1" ht="58.5">
      <c r="A5" s="912" t="s">
        <v>106</v>
      </c>
      <c r="B5" s="913" t="s">
        <v>862</v>
      </c>
      <c r="C5" s="914" t="s">
        <v>863</v>
      </c>
      <c r="D5" s="913" t="s">
        <v>864</v>
      </c>
      <c r="E5" s="913" t="s">
        <v>865</v>
      </c>
      <c r="F5" s="915" t="s">
        <v>866</v>
      </c>
      <c r="G5" s="915" t="s">
        <v>127</v>
      </c>
      <c r="H5" s="915" t="s">
        <v>206</v>
      </c>
      <c r="I5" s="913" t="s">
        <v>867</v>
      </c>
      <c r="J5" s="913" t="s">
        <v>167</v>
      </c>
      <c r="K5" s="916" t="s">
        <v>655</v>
      </c>
      <c r="L5" s="912" t="s">
        <v>868</v>
      </c>
    </row>
    <row r="6" spans="1:12">
      <c r="A6" s="918"/>
      <c r="B6" s="919" t="s">
        <v>134</v>
      </c>
      <c r="C6" s="920"/>
      <c r="D6" s="921"/>
      <c r="E6" s="922"/>
      <c r="F6" s="923"/>
      <c r="G6" s="924"/>
      <c r="H6" s="923"/>
      <c r="I6" s="919"/>
      <c r="J6" s="925"/>
      <c r="K6" s="926"/>
      <c r="L6" s="927"/>
    </row>
    <row r="7" spans="1:12" s="939" customFormat="1" ht="81.75" customHeight="1">
      <c r="A7" s="929">
        <v>1</v>
      </c>
      <c r="B7" s="930" t="s">
        <v>869</v>
      </c>
      <c r="C7" s="931" t="s">
        <v>870</v>
      </c>
      <c r="D7" s="932" t="s">
        <v>871</v>
      </c>
      <c r="E7" s="933">
        <v>619434</v>
      </c>
      <c r="F7" s="934">
        <v>3530358</v>
      </c>
      <c r="G7" s="935">
        <f>67891.5*2</f>
        <v>135783</v>
      </c>
      <c r="H7" s="935">
        <f>+E7-G7</f>
        <v>483651</v>
      </c>
      <c r="I7" s="936" t="s">
        <v>872</v>
      </c>
      <c r="J7" s="937" t="s">
        <v>873</v>
      </c>
      <c r="K7" s="938" t="s">
        <v>874</v>
      </c>
      <c r="L7" s="927" t="s">
        <v>875</v>
      </c>
    </row>
    <row r="8" spans="1:12" s="939" customFormat="1">
      <c r="A8" s="929"/>
      <c r="B8" s="940" t="s">
        <v>876</v>
      </c>
      <c r="C8" s="941"/>
      <c r="D8" s="942"/>
      <c r="E8" s="943">
        <f>SUM(E7:E7)</f>
        <v>619434</v>
      </c>
      <c r="F8" s="944"/>
      <c r="G8" s="943">
        <f>SUM(G7:G7)</f>
        <v>135783</v>
      </c>
      <c r="H8" s="943">
        <f>SUM(H7:H7)</f>
        <v>483651</v>
      </c>
      <c r="I8" s="942"/>
      <c r="J8" s="937"/>
      <c r="K8" s="945"/>
      <c r="L8" s="946"/>
    </row>
    <row r="9" spans="1:12" s="939" customFormat="1" ht="66" customHeight="1">
      <c r="A9" s="947">
        <v>2</v>
      </c>
      <c r="B9" s="948" t="s">
        <v>877</v>
      </c>
      <c r="C9" s="949" t="s">
        <v>878</v>
      </c>
      <c r="D9" s="950" t="s">
        <v>879</v>
      </c>
      <c r="E9" s="951">
        <v>84</v>
      </c>
      <c r="F9" s="952">
        <v>2347000</v>
      </c>
      <c r="G9" s="953">
        <v>84</v>
      </c>
      <c r="H9" s="951">
        <f>+E9-G9</f>
        <v>0</v>
      </c>
      <c r="I9" s="932" t="s">
        <v>880</v>
      </c>
      <c r="J9" s="954" t="s">
        <v>83</v>
      </c>
      <c r="K9" s="938" t="s">
        <v>881</v>
      </c>
      <c r="L9" s="927" t="s">
        <v>882</v>
      </c>
    </row>
    <row r="10" spans="1:12" s="939" customFormat="1" ht="19.5" customHeight="1">
      <c r="A10" s="947"/>
      <c r="B10" s="940" t="s">
        <v>883</v>
      </c>
      <c r="C10" s="949"/>
      <c r="D10" s="950"/>
      <c r="E10" s="955">
        <f>SUM(E9)</f>
        <v>84</v>
      </c>
      <c r="F10" s="956"/>
      <c r="G10" s="955">
        <f>SUM(G9)</f>
        <v>84</v>
      </c>
      <c r="H10" s="955">
        <f>SUM(H9)</f>
        <v>0</v>
      </c>
      <c r="I10" s="932"/>
      <c r="J10" s="954"/>
      <c r="K10" s="957"/>
      <c r="L10" s="946"/>
    </row>
    <row r="11" spans="1:12" ht="66.75" customHeight="1">
      <c r="A11" s="958">
        <v>3</v>
      </c>
      <c r="B11" s="930" t="s">
        <v>884</v>
      </c>
      <c r="C11" s="941" t="s">
        <v>885</v>
      </c>
      <c r="D11" s="936" t="s">
        <v>886</v>
      </c>
      <c r="E11" s="935">
        <v>171.04</v>
      </c>
      <c r="F11" s="959">
        <v>4727316.96</v>
      </c>
      <c r="G11" s="935">
        <v>171.04</v>
      </c>
      <c r="H11" s="935">
        <f>+E11-G11</f>
        <v>0</v>
      </c>
      <c r="I11" s="936" t="s">
        <v>887</v>
      </c>
      <c r="J11" s="937" t="s">
        <v>888</v>
      </c>
      <c r="K11" s="938" t="s">
        <v>889</v>
      </c>
      <c r="L11" s="927" t="s">
        <v>882</v>
      </c>
    </row>
    <row r="12" spans="1:12" s="939" customFormat="1">
      <c r="A12" s="958"/>
      <c r="B12" s="912" t="s">
        <v>890</v>
      </c>
      <c r="C12" s="941"/>
      <c r="D12" s="942"/>
      <c r="E12" s="943">
        <f>SUM(E11:E11)</f>
        <v>171.04</v>
      </c>
      <c r="F12" s="960"/>
      <c r="G12" s="943">
        <f>SUM(G11)</f>
        <v>171.04</v>
      </c>
      <c r="H12" s="943">
        <f>SUM(H11)</f>
        <v>0</v>
      </c>
      <c r="I12" s="942"/>
      <c r="J12" s="942"/>
      <c r="K12" s="945"/>
      <c r="L12" s="946"/>
    </row>
    <row r="13" spans="1:12" s="939" customFormat="1" ht="78">
      <c r="A13" s="958">
        <v>4</v>
      </c>
      <c r="B13" s="930" t="s">
        <v>891</v>
      </c>
      <c r="C13" s="941" t="s">
        <v>870</v>
      </c>
      <c r="D13" s="936" t="s">
        <v>892</v>
      </c>
      <c r="E13" s="935">
        <v>619434</v>
      </c>
      <c r="F13" s="961">
        <v>3530358</v>
      </c>
      <c r="G13" s="935">
        <f>67891.5*2</f>
        <v>135783</v>
      </c>
      <c r="H13" s="935">
        <f>+E13-G13</f>
        <v>483651</v>
      </c>
      <c r="I13" s="942"/>
      <c r="J13" s="942"/>
      <c r="K13" s="938" t="s">
        <v>874</v>
      </c>
      <c r="L13" s="962" t="s">
        <v>893</v>
      </c>
    </row>
    <row r="14" spans="1:12" s="939" customFormat="1" ht="58.5">
      <c r="A14" s="958">
        <v>5</v>
      </c>
      <c r="B14" s="930" t="s">
        <v>894</v>
      </c>
      <c r="C14" s="941" t="s">
        <v>895</v>
      </c>
      <c r="D14" s="936" t="s">
        <v>896</v>
      </c>
      <c r="E14" s="935">
        <v>326350</v>
      </c>
      <c r="F14" s="961">
        <v>486850</v>
      </c>
      <c r="G14" s="943">
        <v>0</v>
      </c>
      <c r="H14" s="935">
        <f>+E14-G14</f>
        <v>326350</v>
      </c>
      <c r="I14" s="942"/>
      <c r="J14" s="942"/>
      <c r="K14" s="963" t="s">
        <v>897</v>
      </c>
      <c r="L14" s="962" t="s">
        <v>898</v>
      </c>
    </row>
    <row r="15" spans="1:12" s="939" customFormat="1">
      <c r="A15" s="958"/>
      <c r="B15" s="912" t="s">
        <v>899</v>
      </c>
      <c r="C15" s="941"/>
      <c r="D15" s="942"/>
      <c r="E15" s="943">
        <f>SUM(E13:E14)</f>
        <v>945784</v>
      </c>
      <c r="F15" s="960"/>
      <c r="G15" s="943">
        <f>SUM(G13:G14)</f>
        <v>135783</v>
      </c>
      <c r="H15" s="943">
        <f>SUM(H13:H14)</f>
        <v>810001</v>
      </c>
      <c r="I15" s="942"/>
      <c r="J15" s="942"/>
      <c r="K15" s="945"/>
      <c r="L15" s="964"/>
    </row>
    <row r="16" spans="1:12" s="939" customFormat="1" ht="49.5" customHeight="1">
      <c r="A16" s="958">
        <v>6</v>
      </c>
      <c r="B16" s="930" t="s">
        <v>900</v>
      </c>
      <c r="C16" s="941" t="s">
        <v>901</v>
      </c>
      <c r="D16" s="936" t="s">
        <v>902</v>
      </c>
      <c r="E16" s="935">
        <v>10187000</v>
      </c>
      <c r="F16" s="961">
        <v>10187000</v>
      </c>
      <c r="G16" s="943">
        <v>0</v>
      </c>
      <c r="H16" s="935">
        <f>+E16-G16</f>
        <v>10187000</v>
      </c>
      <c r="I16" s="942"/>
      <c r="J16" s="942"/>
      <c r="K16" s="963" t="s">
        <v>903</v>
      </c>
      <c r="L16" s="962" t="s">
        <v>904</v>
      </c>
    </row>
    <row r="17" spans="1:12" s="939" customFormat="1">
      <c r="A17" s="958"/>
      <c r="B17" s="912" t="s">
        <v>905</v>
      </c>
      <c r="C17" s="941"/>
      <c r="D17" s="942"/>
      <c r="E17" s="943">
        <f>SUM(E16)</f>
        <v>10187000</v>
      </c>
      <c r="F17" s="960"/>
      <c r="G17" s="943">
        <f>SUM(G16)</f>
        <v>0</v>
      </c>
      <c r="H17" s="943">
        <f>SUM(H16)</f>
        <v>10187000</v>
      </c>
      <c r="I17" s="942"/>
      <c r="J17" s="942"/>
      <c r="K17" s="945"/>
      <c r="L17" s="946"/>
    </row>
    <row r="18" spans="1:12" s="939" customFormat="1">
      <c r="A18" s="1160" t="s">
        <v>906</v>
      </c>
      <c r="B18" s="1160"/>
      <c r="C18" s="965"/>
      <c r="D18" s="966"/>
      <c r="E18" s="967">
        <f>+E8+E10+E12+E15+E17</f>
        <v>11752473.039999999</v>
      </c>
      <c r="F18" s="968"/>
      <c r="G18" s="969">
        <f>+G8+G10+G12+G15+G17</f>
        <v>271821.04000000004</v>
      </c>
      <c r="H18" s="969">
        <f>+H8+H10+H12+H15+H17</f>
        <v>11480652</v>
      </c>
      <c r="I18" s="966"/>
      <c r="J18" s="966"/>
      <c r="K18" s="970"/>
      <c r="L18" s="946"/>
    </row>
    <row r="19" spans="1:12">
      <c r="A19" s="918"/>
      <c r="B19" s="919" t="s">
        <v>137</v>
      </c>
      <c r="C19" s="920"/>
      <c r="D19" s="921"/>
      <c r="E19" s="925"/>
      <c r="F19" s="923"/>
      <c r="G19" s="924"/>
      <c r="H19" s="923"/>
      <c r="I19" s="919"/>
      <c r="J19" s="925"/>
      <c r="K19" s="926"/>
      <c r="L19" s="927"/>
    </row>
    <row r="20" spans="1:12" ht="65.25" customHeight="1">
      <c r="A20" s="971">
        <v>7</v>
      </c>
      <c r="B20" s="948" t="s">
        <v>907</v>
      </c>
      <c r="C20" s="931" t="s">
        <v>908</v>
      </c>
      <c r="D20" s="932" t="s">
        <v>909</v>
      </c>
      <c r="E20" s="933">
        <v>2545000</v>
      </c>
      <c r="F20" s="934">
        <v>2545000</v>
      </c>
      <c r="G20" s="933">
        <v>0</v>
      </c>
      <c r="H20" s="933">
        <f t="shared" ref="H20:H25" si="0">+E20-G20</f>
        <v>2545000</v>
      </c>
      <c r="I20" s="932" t="s">
        <v>910</v>
      </c>
      <c r="J20" s="954" t="s">
        <v>466</v>
      </c>
      <c r="K20" s="972" t="s">
        <v>911</v>
      </c>
      <c r="L20" s="962" t="s">
        <v>912</v>
      </c>
    </row>
    <row r="21" spans="1:12" s="939" customFormat="1" ht="63.75" customHeight="1">
      <c r="A21" s="971">
        <v>8</v>
      </c>
      <c r="B21" s="948" t="s">
        <v>913</v>
      </c>
      <c r="C21" s="931" t="s">
        <v>914</v>
      </c>
      <c r="D21" s="932" t="s">
        <v>915</v>
      </c>
      <c r="E21" s="933">
        <v>3600000</v>
      </c>
      <c r="F21" s="934">
        <v>3600000</v>
      </c>
      <c r="G21" s="933">
        <v>0</v>
      </c>
      <c r="H21" s="933">
        <f t="shared" si="0"/>
        <v>3600000</v>
      </c>
      <c r="I21" s="932" t="s">
        <v>916</v>
      </c>
      <c r="J21" s="954" t="s">
        <v>466</v>
      </c>
      <c r="K21" s="973" t="s">
        <v>917</v>
      </c>
      <c r="L21" s="962" t="s">
        <v>918</v>
      </c>
    </row>
    <row r="22" spans="1:12" s="939" customFormat="1" ht="81.75" customHeight="1">
      <c r="A22" s="971">
        <v>9</v>
      </c>
      <c r="B22" s="948" t="s">
        <v>919</v>
      </c>
      <c r="C22" s="931" t="s">
        <v>920</v>
      </c>
      <c r="D22" s="932" t="s">
        <v>921</v>
      </c>
      <c r="E22" s="933">
        <v>17700000</v>
      </c>
      <c r="F22" s="934">
        <v>17700000</v>
      </c>
      <c r="G22" s="933">
        <v>0</v>
      </c>
      <c r="H22" s="933">
        <f t="shared" si="0"/>
        <v>17700000</v>
      </c>
      <c r="I22" s="932"/>
      <c r="J22" s="954"/>
      <c r="K22" s="973" t="s">
        <v>922</v>
      </c>
      <c r="L22" s="962" t="s">
        <v>923</v>
      </c>
    </row>
    <row r="23" spans="1:12" s="939" customFormat="1" ht="63.75" customHeight="1">
      <c r="A23" s="971">
        <v>10</v>
      </c>
      <c r="B23" s="948" t="s">
        <v>924</v>
      </c>
      <c r="C23" s="931" t="s">
        <v>925</v>
      </c>
      <c r="D23" s="932" t="s">
        <v>926</v>
      </c>
      <c r="E23" s="933">
        <v>11693332.800000001</v>
      </c>
      <c r="F23" s="934">
        <v>19488888</v>
      </c>
      <c r="G23" s="933">
        <v>0</v>
      </c>
      <c r="H23" s="933">
        <f t="shared" si="0"/>
        <v>11693332.800000001</v>
      </c>
      <c r="I23" s="932"/>
      <c r="J23" s="954"/>
      <c r="K23" s="973" t="s">
        <v>927</v>
      </c>
      <c r="L23" s="962" t="s">
        <v>928</v>
      </c>
    </row>
    <row r="24" spans="1:12" s="939" customFormat="1" ht="105.75" customHeight="1">
      <c r="A24" s="971">
        <v>11</v>
      </c>
      <c r="B24" s="948" t="s">
        <v>929</v>
      </c>
      <c r="C24" s="931" t="s">
        <v>930</v>
      </c>
      <c r="D24" s="932" t="s">
        <v>931</v>
      </c>
      <c r="E24" s="933">
        <v>49480000</v>
      </c>
      <c r="F24" s="934">
        <v>49480000</v>
      </c>
      <c r="G24" s="933">
        <v>0</v>
      </c>
      <c r="H24" s="933">
        <f t="shared" si="0"/>
        <v>49480000</v>
      </c>
      <c r="I24" s="932"/>
      <c r="J24" s="954"/>
      <c r="K24" s="973" t="s">
        <v>932</v>
      </c>
      <c r="L24" s="962" t="s">
        <v>933</v>
      </c>
    </row>
    <row r="25" spans="1:12" s="939" customFormat="1" ht="48.75" customHeight="1">
      <c r="A25" s="971">
        <v>12</v>
      </c>
      <c r="B25" s="948" t="s">
        <v>934</v>
      </c>
      <c r="C25" s="931" t="s">
        <v>935</v>
      </c>
      <c r="D25" s="932" t="s">
        <v>936</v>
      </c>
      <c r="E25" s="933">
        <v>336000</v>
      </c>
      <c r="F25" s="934">
        <v>336000</v>
      </c>
      <c r="G25" s="933">
        <v>336000</v>
      </c>
      <c r="H25" s="933">
        <f t="shared" si="0"/>
        <v>0</v>
      </c>
      <c r="I25" s="932"/>
      <c r="J25" s="954"/>
      <c r="K25" s="973" t="s">
        <v>937</v>
      </c>
      <c r="L25" s="927" t="s">
        <v>882</v>
      </c>
    </row>
    <row r="26" spans="1:12" s="939" customFormat="1" ht="20.25" customHeight="1">
      <c r="A26" s="958"/>
      <c r="B26" s="912" t="s">
        <v>905</v>
      </c>
      <c r="C26" s="941"/>
      <c r="D26" s="942"/>
      <c r="E26" s="943">
        <f>SUM(E20:E25)</f>
        <v>85354332.799999997</v>
      </c>
      <c r="F26" s="960"/>
      <c r="G26" s="943">
        <f>SUM(G20:G25)</f>
        <v>336000</v>
      </c>
      <c r="H26" s="943">
        <f>SUM(H20:H25)</f>
        <v>85018332.799999997</v>
      </c>
      <c r="I26" s="942"/>
      <c r="J26" s="937"/>
      <c r="K26" s="945"/>
      <c r="L26" s="946"/>
    </row>
    <row r="27" spans="1:12" ht="39" hidden="1">
      <c r="A27" s="918"/>
      <c r="B27" s="919" t="s">
        <v>938</v>
      </c>
      <c r="C27" s="920"/>
      <c r="D27" s="921"/>
      <c r="E27" s="925"/>
      <c r="F27" s="923"/>
      <c r="G27" s="924"/>
      <c r="H27" s="923"/>
      <c r="I27" s="919"/>
      <c r="J27" s="925"/>
      <c r="K27" s="926"/>
      <c r="L27" s="927"/>
    </row>
    <row r="28" spans="1:12" s="939" customFormat="1" hidden="1">
      <c r="A28" s="958"/>
      <c r="B28" s="930"/>
      <c r="C28" s="941"/>
      <c r="D28" s="936"/>
      <c r="E28" s="974"/>
      <c r="F28" s="974"/>
      <c r="G28" s="975"/>
      <c r="H28" s="935"/>
      <c r="I28" s="941"/>
      <c r="J28" s="937"/>
      <c r="K28" s="1168"/>
      <c r="L28" s="946"/>
    </row>
    <row r="29" spans="1:12" hidden="1">
      <c r="A29" s="941"/>
      <c r="B29" s="930"/>
      <c r="C29" s="941"/>
      <c r="D29" s="936"/>
      <c r="E29" s="976"/>
      <c r="F29" s="976"/>
      <c r="G29" s="977"/>
      <c r="H29" s="978"/>
      <c r="I29" s="941"/>
      <c r="J29" s="941"/>
      <c r="K29" s="1169"/>
      <c r="L29" s="927"/>
    </row>
    <row r="30" spans="1:12" s="939" customFormat="1" hidden="1">
      <c r="A30" s="958"/>
      <c r="B30" s="912"/>
      <c r="C30" s="941"/>
      <c r="D30" s="942"/>
      <c r="E30" s="943">
        <f>SUM(E28:E29)</f>
        <v>0</v>
      </c>
      <c r="F30" s="961"/>
      <c r="G30" s="935"/>
      <c r="H30" s="935"/>
      <c r="I30" s="942"/>
      <c r="J30" s="942"/>
      <c r="K30" s="979"/>
      <c r="L30" s="946"/>
    </row>
    <row r="31" spans="1:12" s="939" customFormat="1" hidden="1">
      <c r="A31" s="958"/>
      <c r="B31" s="930"/>
      <c r="C31" s="941"/>
      <c r="D31" s="936"/>
      <c r="E31" s="935"/>
      <c r="F31" s="961"/>
      <c r="G31" s="935"/>
      <c r="H31" s="935"/>
      <c r="I31" s="941"/>
      <c r="J31" s="942"/>
      <c r="K31" s="980"/>
      <c r="L31" s="946"/>
    </row>
    <row r="32" spans="1:12" s="939" customFormat="1" hidden="1">
      <c r="A32" s="958"/>
      <c r="B32" s="912"/>
      <c r="C32" s="941"/>
      <c r="D32" s="942"/>
      <c r="E32" s="943">
        <f>SUM(E31:E31)</f>
        <v>0</v>
      </c>
      <c r="F32" s="961"/>
      <c r="G32" s="935"/>
      <c r="H32" s="935"/>
      <c r="I32" s="942"/>
      <c r="J32" s="942"/>
      <c r="K32" s="979"/>
      <c r="L32" s="946"/>
    </row>
    <row r="33" spans="1:12" s="939" customFormat="1">
      <c r="A33" s="1160" t="s">
        <v>939</v>
      </c>
      <c r="B33" s="1160"/>
      <c r="C33" s="965"/>
      <c r="D33" s="966"/>
      <c r="E33" s="969">
        <f>+E26</f>
        <v>85354332.799999997</v>
      </c>
      <c r="F33" s="968"/>
      <c r="G33" s="969">
        <f>+G26</f>
        <v>336000</v>
      </c>
      <c r="H33" s="969">
        <f>+H26</f>
        <v>85018332.799999997</v>
      </c>
      <c r="I33" s="966"/>
      <c r="J33" s="966"/>
      <c r="K33" s="970"/>
      <c r="L33" s="946"/>
    </row>
    <row r="34" spans="1:12" ht="39" hidden="1">
      <c r="A34" s="918"/>
      <c r="B34" s="919" t="s">
        <v>938</v>
      </c>
      <c r="C34" s="920"/>
      <c r="D34" s="921"/>
      <c r="E34" s="925"/>
      <c r="F34" s="923"/>
      <c r="G34" s="924"/>
      <c r="H34" s="923"/>
      <c r="I34" s="919"/>
      <c r="J34" s="925"/>
      <c r="K34" s="926"/>
      <c r="L34" s="927"/>
    </row>
    <row r="35" spans="1:12" s="939" customFormat="1" hidden="1">
      <c r="A35" s="958"/>
      <c r="B35" s="930"/>
      <c r="C35" s="941"/>
      <c r="D35" s="936"/>
      <c r="E35" s="981"/>
      <c r="F35" s="981"/>
      <c r="G35" s="935"/>
      <c r="H35" s="935"/>
      <c r="I35" s="941"/>
      <c r="J35" s="937"/>
      <c r="K35" s="982"/>
      <c r="L35" s="946"/>
    </row>
    <row r="36" spans="1:12" s="939" customFormat="1" hidden="1">
      <c r="A36" s="958"/>
      <c r="B36" s="912"/>
      <c r="C36" s="941"/>
      <c r="D36" s="942"/>
      <c r="E36" s="943">
        <f>+E35</f>
        <v>0</v>
      </c>
      <c r="F36" s="961"/>
      <c r="G36" s="935"/>
      <c r="H36" s="935"/>
      <c r="I36" s="942"/>
      <c r="J36" s="942"/>
      <c r="K36" s="979"/>
      <c r="L36" s="946"/>
    </row>
    <row r="37" spans="1:12" hidden="1">
      <c r="A37" s="941"/>
      <c r="B37" s="930"/>
      <c r="C37" s="983"/>
      <c r="D37" s="984"/>
      <c r="E37" s="977"/>
      <c r="F37" s="978"/>
      <c r="G37" s="985"/>
      <c r="H37" s="986"/>
      <c r="I37" s="987"/>
      <c r="J37" s="987"/>
      <c r="K37" s="980"/>
      <c r="L37" s="927"/>
    </row>
    <row r="38" spans="1:12" hidden="1">
      <c r="A38" s="941"/>
      <c r="B38" s="930"/>
      <c r="C38" s="983"/>
      <c r="D38" s="988"/>
      <c r="E38" s="977"/>
      <c r="F38" s="978"/>
      <c r="G38" s="985"/>
      <c r="H38" s="986"/>
      <c r="I38" s="987"/>
      <c r="J38" s="987"/>
      <c r="K38" s="980"/>
      <c r="L38" s="927"/>
    </row>
    <row r="39" spans="1:12" s="939" customFormat="1" hidden="1">
      <c r="A39" s="958"/>
      <c r="B39" s="912"/>
      <c r="C39" s="941"/>
      <c r="D39" s="942"/>
      <c r="E39" s="943">
        <f>SUM(E37:E38)</f>
        <v>0</v>
      </c>
      <c r="F39" s="961"/>
      <c r="G39" s="935"/>
      <c r="H39" s="935"/>
      <c r="I39" s="942"/>
      <c r="J39" s="937"/>
      <c r="K39" s="979"/>
      <c r="L39" s="946"/>
    </row>
    <row r="40" spans="1:12" hidden="1">
      <c r="A40" s="941"/>
      <c r="B40" s="930"/>
      <c r="C40" s="983"/>
      <c r="D40" s="984"/>
      <c r="E40" s="977"/>
      <c r="F40" s="978"/>
      <c r="G40" s="985"/>
      <c r="H40" s="986"/>
      <c r="I40" s="987"/>
      <c r="J40" s="987"/>
      <c r="K40" s="980"/>
      <c r="L40" s="927"/>
    </row>
    <row r="41" spans="1:12" hidden="1">
      <c r="A41" s="941"/>
      <c r="B41" s="912"/>
      <c r="C41" s="983"/>
      <c r="D41" s="984"/>
      <c r="E41" s="989"/>
      <c r="F41" s="978"/>
      <c r="G41" s="985"/>
      <c r="H41" s="986"/>
      <c r="I41" s="987"/>
      <c r="J41" s="987"/>
      <c r="K41" s="980"/>
      <c r="L41" s="927"/>
    </row>
    <row r="42" spans="1:12" s="939" customFormat="1" hidden="1">
      <c r="A42" s="1161" t="s">
        <v>940</v>
      </c>
      <c r="B42" s="1162"/>
      <c r="C42" s="965"/>
      <c r="D42" s="966"/>
      <c r="E42" s="969">
        <f>+E36</f>
        <v>0</v>
      </c>
      <c r="F42" s="968"/>
      <c r="G42" s="990"/>
      <c r="H42" s="990"/>
      <c r="I42" s="966"/>
      <c r="J42" s="966"/>
      <c r="K42" s="970"/>
      <c r="L42" s="946"/>
    </row>
    <row r="43" spans="1:12" s="997" customFormat="1">
      <c r="A43" s="1163" t="s">
        <v>941</v>
      </c>
      <c r="B43" s="1164"/>
      <c r="C43" s="991"/>
      <c r="D43" s="991"/>
      <c r="E43" s="992">
        <f>+E18+E33</f>
        <v>97106805.840000004</v>
      </c>
      <c r="F43" s="993"/>
      <c r="G43" s="994">
        <f>+G18+G33</f>
        <v>607821.04</v>
      </c>
      <c r="H43" s="994">
        <f>+H18+H33</f>
        <v>96498984.799999997</v>
      </c>
      <c r="I43" s="991"/>
      <c r="J43" s="991"/>
      <c r="K43" s="995"/>
      <c r="L43" s="996"/>
    </row>
    <row r="47" spans="1:12">
      <c r="C47" s="1002"/>
    </row>
    <row r="48" spans="1:12">
      <c r="C48" s="1002"/>
    </row>
    <row r="49" spans="3:3">
      <c r="C49" s="1002"/>
    </row>
  </sheetData>
  <mergeCells count="9">
    <mergeCell ref="A33:B33"/>
    <mergeCell ref="A42:B42"/>
    <mergeCell ref="A43:B43"/>
    <mergeCell ref="A1:L1"/>
    <mergeCell ref="A2:L2"/>
    <mergeCell ref="A3:L3"/>
    <mergeCell ref="A4:L4"/>
    <mergeCell ref="A18:B18"/>
    <mergeCell ref="K28:K29"/>
  </mergeCells>
  <pageMargins left="0.7" right="0.7" top="0.75" bottom="0.75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92"/>
  <sheetViews>
    <sheetView zoomScale="75" zoomScaleNormal="75" workbookViewId="0">
      <pane xSplit="1" ySplit="9" topLeftCell="B57" activePane="bottomRight" state="frozen"/>
      <selection pane="topRight" activeCell="B1" sqref="B1"/>
      <selection pane="bottomLeft" activeCell="A10" sqref="A10"/>
      <selection pane="bottomRight" activeCell="K90" sqref="K90"/>
    </sheetView>
  </sheetViews>
  <sheetFormatPr defaultRowHeight="21"/>
  <cols>
    <col min="1" max="1" width="17.25" style="17" customWidth="1"/>
    <col min="2" max="2" width="16.125" style="17" customWidth="1"/>
    <col min="3" max="3" width="15.625" style="17" customWidth="1"/>
    <col min="4" max="4" width="12.125" style="17" customWidth="1"/>
    <col min="5" max="5" width="5.75" style="17" customWidth="1"/>
    <col min="6" max="6" width="11.625" style="17" customWidth="1"/>
    <col min="7" max="7" width="5.625" style="17" customWidth="1"/>
    <col min="8" max="8" width="15.25" style="17" customWidth="1"/>
    <col min="9" max="9" width="8.125" style="17" customWidth="1"/>
    <col min="10" max="10" width="16.625" style="17" customWidth="1"/>
    <col min="11" max="11" width="8.625" style="17" customWidth="1"/>
    <col min="12" max="12" width="15.625" style="17" customWidth="1"/>
    <col min="13" max="13" width="8.625" style="17" customWidth="1"/>
    <col min="14" max="14" width="15.625" style="17" customWidth="1"/>
    <col min="15" max="15" width="8.5" style="17" customWidth="1"/>
    <col min="16" max="16" width="16.125" style="17" customWidth="1"/>
    <col min="17" max="17" width="8.625" style="17" customWidth="1"/>
    <col min="18" max="16384" width="9" style="17"/>
  </cols>
  <sheetData>
    <row r="1" spans="1:19" s="28" customFormat="1">
      <c r="A1" s="1022" t="s">
        <v>105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  <c r="M1" s="1022"/>
      <c r="N1" s="1022"/>
      <c r="O1" s="1022"/>
      <c r="P1" s="1022"/>
      <c r="Q1" s="1022"/>
    </row>
    <row r="2" spans="1:19" s="28" customFormat="1">
      <c r="A2" s="1021" t="s">
        <v>166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  <c r="L2" s="1021"/>
      <c r="M2" s="1021"/>
      <c r="N2" s="1021"/>
      <c r="O2" s="1021"/>
      <c r="P2" s="1021"/>
      <c r="Q2" s="1021"/>
    </row>
    <row r="3" spans="1:19" s="28" customFormat="1">
      <c r="A3" s="1021" t="s">
        <v>440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</row>
    <row r="4" spans="1:19" s="28" customFormat="1">
      <c r="A4" s="1021" t="s">
        <v>441</v>
      </c>
      <c r="B4" s="1021"/>
      <c r="C4" s="1021"/>
      <c r="D4" s="1021"/>
      <c r="E4" s="1021"/>
      <c r="F4" s="1021"/>
      <c r="G4" s="1021"/>
      <c r="H4" s="1021"/>
      <c r="I4" s="1021"/>
      <c r="J4" s="1021"/>
      <c r="K4" s="1021"/>
      <c r="L4" s="1021"/>
      <c r="M4" s="1021"/>
      <c r="N4" s="1021"/>
      <c r="O4" s="1021"/>
      <c r="P4" s="1021"/>
      <c r="Q4" s="1021"/>
    </row>
    <row r="5" spans="1:19" s="28" customFormat="1">
      <c r="A5" s="1021" t="s">
        <v>442</v>
      </c>
      <c r="B5" s="1021"/>
      <c r="C5" s="1021"/>
      <c r="D5" s="1021"/>
      <c r="E5" s="1021"/>
      <c r="F5" s="1021"/>
      <c r="G5" s="1021"/>
      <c r="H5" s="1021"/>
      <c r="I5" s="1021"/>
      <c r="J5" s="1021"/>
      <c r="K5" s="1021"/>
      <c r="L5" s="1021"/>
      <c r="M5" s="1021"/>
      <c r="N5" s="1021"/>
      <c r="O5" s="1021"/>
      <c r="P5" s="1021"/>
      <c r="Q5" s="1021"/>
    </row>
    <row r="6" spans="1:19" s="28" customFormat="1">
      <c r="A6" s="1021" t="s">
        <v>443</v>
      </c>
      <c r="B6" s="1021"/>
      <c r="C6" s="1021"/>
      <c r="D6" s="1021"/>
      <c r="E6" s="1021"/>
      <c r="F6" s="1021"/>
      <c r="G6" s="1021"/>
      <c r="H6" s="1021"/>
      <c r="I6" s="1021"/>
      <c r="J6" s="1021"/>
      <c r="K6" s="1021"/>
      <c r="L6" s="1021"/>
      <c r="M6" s="1021"/>
      <c r="N6" s="1021"/>
      <c r="O6" s="1021"/>
      <c r="P6" s="1021"/>
      <c r="Q6" s="1021"/>
    </row>
    <row r="7" spans="1:19" s="28" customFormat="1">
      <c r="A7" s="35" t="s">
        <v>145</v>
      </c>
    </row>
    <row r="8" spans="1:19" s="28" customFormat="1" ht="21" customHeight="1">
      <c r="A8" s="1023" t="s">
        <v>130</v>
      </c>
      <c r="B8" s="1025" t="s">
        <v>118</v>
      </c>
      <c r="C8" s="1025" t="s">
        <v>131</v>
      </c>
      <c r="D8" s="1027" t="s">
        <v>5</v>
      </c>
      <c r="E8" s="1027"/>
      <c r="F8" s="1028" t="s">
        <v>6</v>
      </c>
      <c r="G8" s="1028"/>
      <c r="H8" s="1017" t="s">
        <v>7</v>
      </c>
      <c r="I8" s="1017"/>
      <c r="J8" s="1018" t="s">
        <v>127</v>
      </c>
      <c r="K8" s="1018"/>
      <c r="L8" s="1019" t="s">
        <v>121</v>
      </c>
      <c r="M8" s="1019"/>
      <c r="N8" s="1020" t="s">
        <v>128</v>
      </c>
      <c r="O8" s="1020"/>
      <c r="P8" s="1020" t="s">
        <v>129</v>
      </c>
      <c r="Q8" s="1020"/>
    </row>
    <row r="9" spans="1:19" s="28" customFormat="1">
      <c r="A9" s="1024"/>
      <c r="B9" s="1026"/>
      <c r="C9" s="1026"/>
      <c r="D9" s="38" t="s">
        <v>119</v>
      </c>
      <c r="E9" s="38" t="s">
        <v>124</v>
      </c>
      <c r="F9" s="38" t="s">
        <v>119</v>
      </c>
      <c r="G9" s="38" t="s">
        <v>124</v>
      </c>
      <c r="H9" s="38" t="s">
        <v>119</v>
      </c>
      <c r="I9" s="38" t="s">
        <v>124</v>
      </c>
      <c r="J9" s="38" t="s">
        <v>119</v>
      </c>
      <c r="K9" s="38" t="s">
        <v>124</v>
      </c>
      <c r="L9" s="38" t="s">
        <v>119</v>
      </c>
      <c r="M9" s="38" t="s">
        <v>124</v>
      </c>
      <c r="N9" s="38" t="s">
        <v>119</v>
      </c>
      <c r="O9" s="38" t="s">
        <v>124</v>
      </c>
      <c r="P9" s="38" t="s">
        <v>119</v>
      </c>
      <c r="Q9" s="38" t="s">
        <v>124</v>
      </c>
    </row>
    <row r="10" spans="1:19" s="28" customFormat="1">
      <c r="A10" s="44" t="s">
        <v>132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</row>
    <row r="11" spans="1:19">
      <c r="A11" s="45" t="s">
        <v>133</v>
      </c>
      <c r="B11" s="221">
        <f t="shared" ref="B11:D12" si="0">+B47</f>
        <v>368231400</v>
      </c>
      <c r="C11" s="221">
        <f t="shared" si="0"/>
        <v>184115700</v>
      </c>
      <c r="D11" s="221">
        <f t="shared" si="0"/>
        <v>0</v>
      </c>
      <c r="E11" s="221">
        <f>+D11*100/$C11</f>
        <v>0</v>
      </c>
      <c r="F11" s="221">
        <f>+F47</f>
        <v>0</v>
      </c>
      <c r="G11" s="221">
        <f>+F11*100/$C11</f>
        <v>0</v>
      </c>
      <c r="H11" s="221">
        <f>+H47</f>
        <v>0</v>
      </c>
      <c r="I11" s="221">
        <f>+H11*100/$C11</f>
        <v>0</v>
      </c>
      <c r="J11" s="221">
        <f>+J47</f>
        <v>94670302.109999999</v>
      </c>
      <c r="K11" s="221">
        <f>+J11*100/$C11</f>
        <v>51.418918707095592</v>
      </c>
      <c r="L11" s="221">
        <f>+L47</f>
        <v>94670302.109999999</v>
      </c>
      <c r="M11" s="221">
        <f>+L11*100/$C11</f>
        <v>51.418918707095592</v>
      </c>
      <c r="N11" s="221">
        <f>+N47</f>
        <v>89445397.890000001</v>
      </c>
      <c r="O11" s="221">
        <f>+N11*100/$C11</f>
        <v>48.581081292904408</v>
      </c>
      <c r="P11" s="221">
        <f>+P47</f>
        <v>273561097.88999999</v>
      </c>
      <c r="Q11" s="221">
        <f>+P11*100/B11</f>
        <v>74.2905406464522</v>
      </c>
      <c r="R11" s="222"/>
      <c r="S11" s="222"/>
    </row>
    <row r="12" spans="1:19">
      <c r="A12" s="45" t="s">
        <v>134</v>
      </c>
      <c r="B12" s="221">
        <f t="shared" si="0"/>
        <v>24429600</v>
      </c>
      <c r="C12" s="221">
        <f t="shared" si="0"/>
        <v>12214800</v>
      </c>
      <c r="D12" s="221">
        <f t="shared" si="0"/>
        <v>0</v>
      </c>
      <c r="E12" s="221">
        <f t="shared" ref="E12:G41" si="1">+D12*100/$C12</f>
        <v>0</v>
      </c>
      <c r="F12" s="221">
        <f>+F48</f>
        <v>0</v>
      </c>
      <c r="G12" s="221">
        <f t="shared" si="1"/>
        <v>0</v>
      </c>
      <c r="H12" s="221">
        <f>+H48</f>
        <v>0</v>
      </c>
      <c r="I12" s="221">
        <f t="shared" ref="I12" si="2">+H12*100/$C12</f>
        <v>0</v>
      </c>
      <c r="J12" s="221">
        <f>+J48</f>
        <v>5386723.2199999997</v>
      </c>
      <c r="K12" s="221">
        <f t="shared" ref="K12" si="3">+J12*100/$C12</f>
        <v>44.099970691292533</v>
      </c>
      <c r="L12" s="221">
        <f>+L48</f>
        <v>5386723.2199999997</v>
      </c>
      <c r="M12" s="221">
        <f t="shared" ref="M12" si="4">+L12*100/$C12</f>
        <v>44.099970691292533</v>
      </c>
      <c r="N12" s="221">
        <f>+N48</f>
        <v>6828076.7800000003</v>
      </c>
      <c r="O12" s="221">
        <f t="shared" ref="O12" si="5">+N12*100/$C12</f>
        <v>55.900029308707467</v>
      </c>
      <c r="P12" s="221">
        <f>+P48</f>
        <v>19042876.780000001</v>
      </c>
      <c r="Q12" s="221">
        <f t="shared" ref="Q12:Q41" si="6">+P12*100/B12</f>
        <v>77.950014654353737</v>
      </c>
      <c r="R12" s="222"/>
      <c r="S12" s="222"/>
    </row>
    <row r="13" spans="1:19" s="28" customFormat="1">
      <c r="A13" s="46" t="s">
        <v>135</v>
      </c>
      <c r="B13" s="223">
        <f>SUM(B11:B12)</f>
        <v>392661000</v>
      </c>
      <c r="C13" s="223">
        <f t="shared" ref="C13:P13" si="7">SUM(C11:C12)</f>
        <v>196330500</v>
      </c>
      <c r="D13" s="223">
        <f t="shared" si="7"/>
        <v>0</v>
      </c>
      <c r="E13" s="223">
        <f t="shared" si="1"/>
        <v>0</v>
      </c>
      <c r="F13" s="223">
        <f t="shared" si="7"/>
        <v>0</v>
      </c>
      <c r="G13" s="223">
        <f t="shared" si="1"/>
        <v>0</v>
      </c>
      <c r="H13" s="223">
        <f t="shared" si="7"/>
        <v>0</v>
      </c>
      <c r="I13" s="223">
        <f t="shared" ref="I13" si="8">+H13*100/$C13</f>
        <v>0</v>
      </c>
      <c r="J13" s="223">
        <f t="shared" si="7"/>
        <v>100057025.33</v>
      </c>
      <c r="K13" s="223">
        <f t="shared" ref="K13" si="9">+J13*100/$C13</f>
        <v>50.963566705122233</v>
      </c>
      <c r="L13" s="223">
        <f t="shared" si="7"/>
        <v>100057025.33</v>
      </c>
      <c r="M13" s="223">
        <f t="shared" ref="M13" si="10">+L13*100/$C13</f>
        <v>50.963566705122233</v>
      </c>
      <c r="N13" s="223">
        <f t="shared" si="7"/>
        <v>96273474.670000002</v>
      </c>
      <c r="O13" s="223">
        <f t="shared" ref="O13" si="11">+N13*100/$C13</f>
        <v>49.036433294877767</v>
      </c>
      <c r="P13" s="223">
        <f t="shared" si="7"/>
        <v>292603974.66999996</v>
      </c>
      <c r="Q13" s="223">
        <f t="shared" si="6"/>
        <v>74.518216647438877</v>
      </c>
      <c r="R13" s="241"/>
      <c r="S13" s="241"/>
    </row>
    <row r="14" spans="1:19" s="28" customFormat="1">
      <c r="A14" s="44" t="s">
        <v>136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41"/>
      <c r="S14" s="241"/>
    </row>
    <row r="15" spans="1:19">
      <c r="A15" s="45" t="s">
        <v>134</v>
      </c>
      <c r="B15" s="221">
        <f>+B51+B88</f>
        <v>164566300</v>
      </c>
      <c r="C15" s="221">
        <f t="shared" ref="C15:P15" si="12">+C51+C88</f>
        <v>82275600</v>
      </c>
      <c r="D15" s="221">
        <f t="shared" si="12"/>
        <v>0</v>
      </c>
      <c r="E15" s="221">
        <f t="shared" si="1"/>
        <v>0</v>
      </c>
      <c r="F15" s="221">
        <f t="shared" si="12"/>
        <v>0</v>
      </c>
      <c r="G15" s="221">
        <f t="shared" si="1"/>
        <v>0</v>
      </c>
      <c r="H15" s="221">
        <f t="shared" si="12"/>
        <v>20060578.449999999</v>
      </c>
      <c r="I15" s="221">
        <f t="shared" ref="I15" si="13">+H15*100/$C15</f>
        <v>24.382172174982621</v>
      </c>
      <c r="J15" s="221">
        <f t="shared" si="12"/>
        <v>24314214.23</v>
      </c>
      <c r="K15" s="221">
        <f t="shared" ref="K15" si="14">+J15*100/$C15</f>
        <v>29.552156690440423</v>
      </c>
      <c r="L15" s="221">
        <f t="shared" si="12"/>
        <v>44374792.680000007</v>
      </c>
      <c r="M15" s="221">
        <f t="shared" ref="M15" si="15">+L15*100/$C15</f>
        <v>53.934328865423055</v>
      </c>
      <c r="N15" s="221">
        <f t="shared" si="12"/>
        <v>37900807.319999993</v>
      </c>
      <c r="O15" s="221">
        <f t="shared" ref="O15" si="16">+N15*100/$C15</f>
        <v>46.065671134576945</v>
      </c>
      <c r="P15" s="221">
        <f t="shared" si="12"/>
        <v>120191507.31999999</v>
      </c>
      <c r="Q15" s="221">
        <f t="shared" si="6"/>
        <v>73.035309975371632</v>
      </c>
      <c r="R15" s="222"/>
      <c r="S15" s="222"/>
    </row>
    <row r="16" spans="1:19">
      <c r="A16" s="45" t="s">
        <v>137</v>
      </c>
      <c r="B16" s="221">
        <f t="shared" ref="B16:D17" si="17">+B52</f>
        <v>160358300</v>
      </c>
      <c r="C16" s="221">
        <f t="shared" si="17"/>
        <v>160358300</v>
      </c>
      <c r="D16" s="221">
        <f t="shared" si="17"/>
        <v>0</v>
      </c>
      <c r="E16" s="221">
        <f t="shared" si="1"/>
        <v>0</v>
      </c>
      <c r="F16" s="221">
        <f>+F52</f>
        <v>0</v>
      </c>
      <c r="G16" s="221">
        <f t="shared" si="1"/>
        <v>0</v>
      </c>
      <c r="H16" s="221">
        <f>+H52</f>
        <v>1250269.76</v>
      </c>
      <c r="I16" s="221">
        <f t="shared" ref="I16" si="18">+H16*100/$C16</f>
        <v>0.7796726206251875</v>
      </c>
      <c r="J16" s="221">
        <f>+J52</f>
        <v>935227.4</v>
      </c>
      <c r="K16" s="221">
        <f t="shared" ref="K16" si="19">+J16*100/$C16</f>
        <v>0.58321109665043847</v>
      </c>
      <c r="L16" s="221">
        <f>+L52</f>
        <v>2185497.16</v>
      </c>
      <c r="M16" s="221">
        <f t="shared" ref="M16" si="20">+L16*100/$C16</f>
        <v>1.3628837172756259</v>
      </c>
      <c r="N16" s="221">
        <f>+N52</f>
        <v>158172802.84</v>
      </c>
      <c r="O16" s="221">
        <f t="shared" ref="O16" si="21">+N16*100/$C16</f>
        <v>98.637116282724378</v>
      </c>
      <c r="P16" s="221">
        <f>+P52</f>
        <v>158172802.84</v>
      </c>
      <c r="Q16" s="221">
        <f t="shared" si="6"/>
        <v>98.637116282724378</v>
      </c>
      <c r="R16" s="222"/>
      <c r="S16" s="222"/>
    </row>
    <row r="17" spans="1:19">
      <c r="A17" s="45" t="s">
        <v>138</v>
      </c>
      <c r="B17" s="221">
        <f t="shared" si="17"/>
        <v>4015000</v>
      </c>
      <c r="C17" s="221">
        <f t="shared" si="17"/>
        <v>2015000</v>
      </c>
      <c r="D17" s="221">
        <f t="shared" si="17"/>
        <v>0</v>
      </c>
      <c r="E17" s="221">
        <f t="shared" si="1"/>
        <v>0</v>
      </c>
      <c r="F17" s="221">
        <f>+F53</f>
        <v>0</v>
      </c>
      <c r="G17" s="221">
        <f t="shared" si="1"/>
        <v>0</v>
      </c>
      <c r="H17" s="221">
        <f>+H53</f>
        <v>0</v>
      </c>
      <c r="I17" s="221">
        <f t="shared" ref="I17" si="22">+H17*100/$C17</f>
        <v>0</v>
      </c>
      <c r="J17" s="221">
        <f>+J53</f>
        <v>242461.5</v>
      </c>
      <c r="K17" s="221">
        <f t="shared" ref="K17" si="23">+J17*100/$C17</f>
        <v>12.032828784119106</v>
      </c>
      <c r="L17" s="221">
        <f>+L53</f>
        <v>242461.5</v>
      </c>
      <c r="M17" s="221">
        <f t="shared" ref="M17" si="24">+L17*100/$C17</f>
        <v>12.032828784119106</v>
      </c>
      <c r="N17" s="221">
        <f>+N53</f>
        <v>1772538.5</v>
      </c>
      <c r="O17" s="221">
        <f t="shared" ref="O17" si="25">+N17*100/$C17</f>
        <v>87.967171215880896</v>
      </c>
      <c r="P17" s="221">
        <f>+P53</f>
        <v>3772538.5</v>
      </c>
      <c r="Q17" s="221">
        <f t="shared" si="6"/>
        <v>93.961108343711089</v>
      </c>
      <c r="R17" s="222"/>
      <c r="S17" s="222"/>
    </row>
    <row r="18" spans="1:19" s="28" customFormat="1">
      <c r="A18" s="46" t="s">
        <v>135</v>
      </c>
      <c r="B18" s="223">
        <f>SUM(B15:B17)</f>
        <v>328939600</v>
      </c>
      <c r="C18" s="223">
        <f t="shared" ref="C18:P18" si="26">SUM(C15:C17)</f>
        <v>244648900</v>
      </c>
      <c r="D18" s="223">
        <f t="shared" si="26"/>
        <v>0</v>
      </c>
      <c r="E18" s="223">
        <f t="shared" si="1"/>
        <v>0</v>
      </c>
      <c r="F18" s="223">
        <f t="shared" si="26"/>
        <v>0</v>
      </c>
      <c r="G18" s="223">
        <f t="shared" si="1"/>
        <v>0</v>
      </c>
      <c r="H18" s="223">
        <f t="shared" si="26"/>
        <v>21310848.210000001</v>
      </c>
      <c r="I18" s="223">
        <f t="shared" ref="I18" si="27">+H18*100/$C18</f>
        <v>8.7107884850493917</v>
      </c>
      <c r="J18" s="223">
        <f t="shared" si="26"/>
        <v>25491903.129999999</v>
      </c>
      <c r="K18" s="223">
        <f t="shared" ref="K18" si="28">+J18*100/$C18</f>
        <v>10.419790618310566</v>
      </c>
      <c r="L18" s="223">
        <f t="shared" si="26"/>
        <v>46802751.340000004</v>
      </c>
      <c r="M18" s="223">
        <f t="shared" ref="M18" si="29">+L18*100/$C18</f>
        <v>19.130579103359956</v>
      </c>
      <c r="N18" s="223">
        <f t="shared" si="26"/>
        <v>197846148.66</v>
      </c>
      <c r="O18" s="223">
        <f t="shared" ref="O18" si="30">+N18*100/$C18</f>
        <v>80.869420896640037</v>
      </c>
      <c r="P18" s="223">
        <f t="shared" si="26"/>
        <v>282136848.65999997</v>
      </c>
      <c r="Q18" s="223">
        <f t="shared" si="6"/>
        <v>85.771627575396806</v>
      </c>
      <c r="R18" s="241"/>
      <c r="S18" s="241"/>
    </row>
    <row r="19" spans="1:19" s="28" customFormat="1">
      <c r="A19" s="44" t="s">
        <v>139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41"/>
      <c r="S19" s="241"/>
    </row>
    <row r="20" spans="1:19">
      <c r="A20" s="45" t="s">
        <v>134</v>
      </c>
      <c r="B20" s="221">
        <f t="shared" ref="B20:D21" si="31">+B56</f>
        <v>15069400</v>
      </c>
      <c r="C20" s="221">
        <f t="shared" si="31"/>
        <v>7534700</v>
      </c>
      <c r="D20" s="221">
        <f t="shared" si="31"/>
        <v>0</v>
      </c>
      <c r="E20" s="221">
        <f t="shared" si="1"/>
        <v>0</v>
      </c>
      <c r="F20" s="221">
        <f>+F56</f>
        <v>0</v>
      </c>
      <c r="G20" s="221">
        <f t="shared" si="1"/>
        <v>0</v>
      </c>
      <c r="H20" s="221">
        <f>+H56</f>
        <v>3183148.85</v>
      </c>
      <c r="I20" s="221">
        <f t="shared" ref="I20" si="32">+H20*100/$C20</f>
        <v>42.246524081914345</v>
      </c>
      <c r="J20" s="221">
        <f>+J56</f>
        <v>1209932.1499999999</v>
      </c>
      <c r="K20" s="221">
        <f t="shared" ref="K20" si="33">+J20*100/$C20</f>
        <v>16.058133037811722</v>
      </c>
      <c r="L20" s="221">
        <f>+L56</f>
        <v>4393081</v>
      </c>
      <c r="M20" s="221">
        <f t="shared" ref="M20" si="34">+L20*100/$C20</f>
        <v>58.304657119726066</v>
      </c>
      <c r="N20" s="221">
        <f>+N56</f>
        <v>3141619</v>
      </c>
      <c r="O20" s="221">
        <f t="shared" ref="O20" si="35">+N20*100/$C20</f>
        <v>41.695342880273934</v>
      </c>
      <c r="P20" s="221">
        <f>+P56</f>
        <v>10676319</v>
      </c>
      <c r="Q20" s="221">
        <f t="shared" si="6"/>
        <v>70.847671440136963</v>
      </c>
      <c r="R20" s="222"/>
      <c r="S20" s="222"/>
    </row>
    <row r="21" spans="1:19">
      <c r="A21" s="45" t="s">
        <v>137</v>
      </c>
      <c r="B21" s="221">
        <f t="shared" si="31"/>
        <v>2375300</v>
      </c>
      <c r="C21" s="221">
        <f t="shared" si="31"/>
        <v>2375300</v>
      </c>
      <c r="D21" s="221">
        <f t="shared" si="31"/>
        <v>0</v>
      </c>
      <c r="E21" s="221">
        <f t="shared" si="1"/>
        <v>0</v>
      </c>
      <c r="F21" s="221">
        <f>+F57</f>
        <v>0</v>
      </c>
      <c r="G21" s="221">
        <f t="shared" si="1"/>
        <v>0</v>
      </c>
      <c r="H21" s="221">
        <f>+H57</f>
        <v>1070863.73</v>
      </c>
      <c r="I21" s="221">
        <f t="shared" ref="I21" si="36">+H21*100/$C21</f>
        <v>45.083304424704245</v>
      </c>
      <c r="J21" s="221">
        <f>+J57</f>
        <v>189900</v>
      </c>
      <c r="K21" s="221">
        <f t="shared" ref="K21" si="37">+J21*100/$C21</f>
        <v>7.9947796067865111</v>
      </c>
      <c r="L21" s="221">
        <f>+L57</f>
        <v>1260763.73</v>
      </c>
      <c r="M21" s="221">
        <f t="shared" ref="M21" si="38">+L21*100/$C21</f>
        <v>53.078084031490761</v>
      </c>
      <c r="N21" s="221">
        <f>+N57</f>
        <v>1114536.27</v>
      </c>
      <c r="O21" s="221">
        <f t="shared" ref="O21" si="39">+N21*100/$C21</f>
        <v>46.921915968509239</v>
      </c>
      <c r="P21" s="221">
        <f>+P57</f>
        <v>1114536.27</v>
      </c>
      <c r="Q21" s="221">
        <f t="shared" si="6"/>
        <v>46.921915968509239</v>
      </c>
      <c r="R21" s="222"/>
      <c r="S21" s="222"/>
    </row>
    <row r="22" spans="1:19" s="28" customFormat="1">
      <c r="A22" s="46" t="s">
        <v>135</v>
      </c>
      <c r="B22" s="223">
        <f>SUM(B20:B21)</f>
        <v>17444700</v>
      </c>
      <c r="C22" s="223">
        <f t="shared" ref="C22:P22" si="40">SUM(C20:C21)</f>
        <v>9910000</v>
      </c>
      <c r="D22" s="223">
        <f t="shared" si="40"/>
        <v>0</v>
      </c>
      <c r="E22" s="223">
        <f t="shared" si="1"/>
        <v>0</v>
      </c>
      <c r="F22" s="223">
        <f t="shared" si="40"/>
        <v>0</v>
      </c>
      <c r="G22" s="223">
        <f t="shared" si="1"/>
        <v>0</v>
      </c>
      <c r="H22" s="223">
        <f t="shared" si="40"/>
        <v>4254012.58</v>
      </c>
      <c r="I22" s="223">
        <f t="shared" ref="I22" si="41">+H22*100/$C22</f>
        <v>42.926463975782042</v>
      </c>
      <c r="J22" s="223">
        <f t="shared" si="40"/>
        <v>1399832.15</v>
      </c>
      <c r="K22" s="223">
        <f t="shared" ref="K22" si="42">+J22*100/$C22</f>
        <v>14.125450554994954</v>
      </c>
      <c r="L22" s="223">
        <f t="shared" si="40"/>
        <v>5653844.7300000004</v>
      </c>
      <c r="M22" s="223">
        <f t="shared" ref="M22" si="43">+L22*100/$C22</f>
        <v>57.05191453077699</v>
      </c>
      <c r="N22" s="223">
        <f t="shared" si="40"/>
        <v>4256155.2699999996</v>
      </c>
      <c r="O22" s="223">
        <f t="shared" ref="O22" si="44">+N22*100/$C22</f>
        <v>42.948085469223003</v>
      </c>
      <c r="P22" s="223">
        <f t="shared" si="40"/>
        <v>11790855.27</v>
      </c>
      <c r="Q22" s="223">
        <f t="shared" si="6"/>
        <v>67.589899912294285</v>
      </c>
      <c r="R22" s="241"/>
      <c r="S22" s="241"/>
    </row>
    <row r="23" spans="1:19" s="28" customFormat="1">
      <c r="A23" s="46" t="s">
        <v>140</v>
      </c>
      <c r="B23" s="240"/>
      <c r="C23" s="240"/>
      <c r="D23" s="240"/>
      <c r="E23" s="223"/>
      <c r="F23" s="240"/>
      <c r="G23" s="223"/>
      <c r="H23" s="240"/>
      <c r="I23" s="223"/>
      <c r="J23" s="240"/>
      <c r="K23" s="223"/>
      <c r="L23" s="240"/>
      <c r="M23" s="223"/>
      <c r="N23" s="240"/>
      <c r="O23" s="223"/>
      <c r="P23" s="240"/>
      <c r="Q23" s="223"/>
      <c r="R23" s="241"/>
      <c r="S23" s="241"/>
    </row>
    <row r="24" spans="1:19" s="28" customFormat="1">
      <c r="A24" s="44" t="s">
        <v>134</v>
      </c>
      <c r="B24" s="223">
        <f>+B15+B20</f>
        <v>179635700</v>
      </c>
      <c r="C24" s="223">
        <f t="shared" ref="C24:P24" si="45">+C15+C20</f>
        <v>89810300</v>
      </c>
      <c r="D24" s="223">
        <f t="shared" si="45"/>
        <v>0</v>
      </c>
      <c r="E24" s="223">
        <f t="shared" si="1"/>
        <v>0</v>
      </c>
      <c r="F24" s="223">
        <f t="shared" si="45"/>
        <v>0</v>
      </c>
      <c r="G24" s="223">
        <f t="shared" si="1"/>
        <v>0</v>
      </c>
      <c r="H24" s="223">
        <f t="shared" si="45"/>
        <v>23243727.300000001</v>
      </c>
      <c r="I24" s="223">
        <f t="shared" ref="I24" si="46">+H24*100/$C24</f>
        <v>25.880914883927566</v>
      </c>
      <c r="J24" s="223">
        <f t="shared" si="45"/>
        <v>25524146.379999999</v>
      </c>
      <c r="K24" s="223">
        <f t="shared" ref="K24" si="47">+J24*100/$C24</f>
        <v>28.420065827638922</v>
      </c>
      <c r="L24" s="223">
        <f t="shared" si="45"/>
        <v>48767873.680000007</v>
      </c>
      <c r="M24" s="223">
        <f t="shared" ref="M24" si="48">+L24*100/$C24</f>
        <v>54.300980711566503</v>
      </c>
      <c r="N24" s="223">
        <f t="shared" si="45"/>
        <v>41042426.319999993</v>
      </c>
      <c r="O24" s="223">
        <f t="shared" ref="O24" si="49">+N24*100/$C24</f>
        <v>45.699019288433497</v>
      </c>
      <c r="P24" s="223">
        <f t="shared" si="45"/>
        <v>130867826.31999999</v>
      </c>
      <c r="Q24" s="223">
        <f t="shared" si="6"/>
        <v>72.851791887692698</v>
      </c>
      <c r="R24" s="241"/>
      <c r="S24" s="241"/>
    </row>
    <row r="25" spans="1:19" s="28" customFormat="1">
      <c r="A25" s="44" t="s">
        <v>137</v>
      </c>
      <c r="B25" s="223">
        <f>+B16</f>
        <v>160358300</v>
      </c>
      <c r="C25" s="223">
        <f t="shared" ref="C25:P25" si="50">+C16</f>
        <v>160358300</v>
      </c>
      <c r="D25" s="223">
        <f t="shared" si="50"/>
        <v>0</v>
      </c>
      <c r="E25" s="223">
        <f t="shared" si="1"/>
        <v>0</v>
      </c>
      <c r="F25" s="223">
        <f t="shared" si="50"/>
        <v>0</v>
      </c>
      <c r="G25" s="223">
        <f t="shared" si="1"/>
        <v>0</v>
      </c>
      <c r="H25" s="223">
        <f t="shared" si="50"/>
        <v>1250269.76</v>
      </c>
      <c r="I25" s="223">
        <f t="shared" ref="I25" si="51">+H25*100/$C25</f>
        <v>0.7796726206251875</v>
      </c>
      <c r="J25" s="223">
        <f t="shared" si="50"/>
        <v>935227.4</v>
      </c>
      <c r="K25" s="223">
        <f t="shared" ref="K25" si="52">+J25*100/$C25</f>
        <v>0.58321109665043847</v>
      </c>
      <c r="L25" s="223">
        <f t="shared" si="50"/>
        <v>2185497.16</v>
      </c>
      <c r="M25" s="223">
        <f t="shared" ref="M25" si="53">+L25*100/$C25</f>
        <v>1.3628837172756259</v>
      </c>
      <c r="N25" s="223">
        <f t="shared" si="50"/>
        <v>158172802.84</v>
      </c>
      <c r="O25" s="223">
        <f t="shared" ref="O25" si="54">+N25*100/$C25</f>
        <v>98.637116282724378</v>
      </c>
      <c r="P25" s="223">
        <f t="shared" si="50"/>
        <v>158172802.84</v>
      </c>
      <c r="Q25" s="223">
        <f t="shared" si="6"/>
        <v>98.637116282724378</v>
      </c>
      <c r="R25" s="241"/>
      <c r="S25" s="241"/>
    </row>
    <row r="26" spans="1:19" s="28" customFormat="1">
      <c r="A26" s="44" t="s">
        <v>138</v>
      </c>
      <c r="B26" s="223">
        <f>+B17</f>
        <v>4015000</v>
      </c>
      <c r="C26" s="223">
        <f t="shared" ref="C26:P26" si="55">+C17</f>
        <v>2015000</v>
      </c>
      <c r="D26" s="223">
        <f t="shared" si="55"/>
        <v>0</v>
      </c>
      <c r="E26" s="223">
        <f t="shared" si="1"/>
        <v>0</v>
      </c>
      <c r="F26" s="223">
        <f t="shared" si="55"/>
        <v>0</v>
      </c>
      <c r="G26" s="223">
        <f t="shared" si="1"/>
        <v>0</v>
      </c>
      <c r="H26" s="223">
        <f t="shared" si="55"/>
        <v>0</v>
      </c>
      <c r="I26" s="223">
        <f t="shared" ref="I26" si="56">+H26*100/$C26</f>
        <v>0</v>
      </c>
      <c r="J26" s="223">
        <f t="shared" si="55"/>
        <v>242461.5</v>
      </c>
      <c r="K26" s="223">
        <f t="shared" ref="K26" si="57">+J26*100/$C26</f>
        <v>12.032828784119106</v>
      </c>
      <c r="L26" s="223">
        <f t="shared" si="55"/>
        <v>242461.5</v>
      </c>
      <c r="M26" s="223">
        <f t="shared" ref="M26" si="58">+L26*100/$C26</f>
        <v>12.032828784119106</v>
      </c>
      <c r="N26" s="223">
        <f t="shared" si="55"/>
        <v>1772538.5</v>
      </c>
      <c r="O26" s="223">
        <f t="shared" ref="O26" si="59">+N26*100/$C26</f>
        <v>87.967171215880896</v>
      </c>
      <c r="P26" s="223">
        <f t="shared" si="55"/>
        <v>3772538.5</v>
      </c>
      <c r="Q26" s="223">
        <f t="shared" si="6"/>
        <v>93.961108343711089</v>
      </c>
      <c r="R26" s="241"/>
      <c r="S26" s="241"/>
    </row>
    <row r="27" spans="1:19" s="28" customFormat="1">
      <c r="A27" s="46" t="s">
        <v>141</v>
      </c>
      <c r="B27" s="223">
        <f>SUM(B24:B26)</f>
        <v>344009000</v>
      </c>
      <c r="C27" s="223">
        <f t="shared" ref="C27:P27" si="60">SUM(C24:C26)</f>
        <v>252183600</v>
      </c>
      <c r="D27" s="223">
        <f t="shared" si="60"/>
        <v>0</v>
      </c>
      <c r="E27" s="223">
        <f t="shared" si="1"/>
        <v>0</v>
      </c>
      <c r="F27" s="223">
        <f t="shared" si="60"/>
        <v>0</v>
      </c>
      <c r="G27" s="223">
        <f t="shared" si="1"/>
        <v>0</v>
      </c>
      <c r="H27" s="223">
        <f t="shared" si="60"/>
        <v>24493997.060000002</v>
      </c>
      <c r="I27" s="223">
        <f t="shared" ref="I27" si="61">+H27*100/$C27</f>
        <v>9.7127636610786752</v>
      </c>
      <c r="J27" s="223">
        <f t="shared" si="60"/>
        <v>26701835.279999997</v>
      </c>
      <c r="K27" s="223">
        <f t="shared" ref="K27" si="62">+J27*100/$C27</f>
        <v>10.588252083006189</v>
      </c>
      <c r="L27" s="223">
        <f t="shared" si="60"/>
        <v>51195832.340000004</v>
      </c>
      <c r="M27" s="223">
        <f t="shared" ref="M27" si="63">+L27*100/$C27</f>
        <v>20.301015744084864</v>
      </c>
      <c r="N27" s="223">
        <f t="shared" si="60"/>
        <v>200987767.66</v>
      </c>
      <c r="O27" s="223">
        <f t="shared" ref="O27" si="64">+N27*100/$C27</f>
        <v>79.698984255915136</v>
      </c>
      <c r="P27" s="223">
        <f t="shared" si="60"/>
        <v>292813167.65999997</v>
      </c>
      <c r="Q27" s="223">
        <f t="shared" si="6"/>
        <v>85.117879956629025</v>
      </c>
      <c r="R27" s="241"/>
      <c r="S27" s="241"/>
    </row>
    <row r="28" spans="1:19" s="28" customFormat="1">
      <c r="A28" s="44" t="s">
        <v>142</v>
      </c>
      <c r="B28" s="240"/>
      <c r="C28" s="240"/>
      <c r="D28" s="240"/>
      <c r="E28" s="223"/>
      <c r="F28" s="240"/>
      <c r="G28" s="223"/>
      <c r="H28" s="240"/>
      <c r="I28" s="223"/>
      <c r="J28" s="240"/>
      <c r="K28" s="223"/>
      <c r="L28" s="240"/>
      <c r="M28" s="223"/>
      <c r="N28" s="240"/>
      <c r="O28" s="223"/>
      <c r="P28" s="240"/>
      <c r="Q28" s="223"/>
      <c r="R28" s="241"/>
      <c r="S28" s="241"/>
    </row>
    <row r="29" spans="1:19">
      <c r="A29" s="45" t="s">
        <v>134</v>
      </c>
      <c r="B29" s="221">
        <f t="shared" ref="B29:D30" si="65">+B60</f>
        <v>70879700</v>
      </c>
      <c r="C29" s="221">
        <f t="shared" si="65"/>
        <v>35439800</v>
      </c>
      <c r="D29" s="221">
        <f t="shared" si="65"/>
        <v>0</v>
      </c>
      <c r="E29" s="221">
        <f t="shared" si="1"/>
        <v>0</v>
      </c>
      <c r="F29" s="221">
        <f>+F60</f>
        <v>0</v>
      </c>
      <c r="G29" s="221">
        <f t="shared" si="1"/>
        <v>0</v>
      </c>
      <c r="H29" s="221">
        <f>+H60</f>
        <v>4486990</v>
      </c>
      <c r="I29" s="221">
        <f t="shared" ref="I29" si="66">+H29*100/$C29</f>
        <v>12.660878447395302</v>
      </c>
      <c r="J29" s="221">
        <f>+J60</f>
        <v>2374177.0299999998</v>
      </c>
      <c r="K29" s="221">
        <f t="shared" ref="K29" si="67">+J29*100/$C29</f>
        <v>6.6991829242828675</v>
      </c>
      <c r="L29" s="221">
        <f>+L60</f>
        <v>6861167.0299999993</v>
      </c>
      <c r="M29" s="221">
        <f t="shared" ref="M29" si="68">+L29*100/$C29</f>
        <v>19.360061371678167</v>
      </c>
      <c r="N29" s="221">
        <f>+N60</f>
        <v>28578632.969999999</v>
      </c>
      <c r="O29" s="221">
        <f t="shared" ref="O29" si="69">+N29*100/$C29</f>
        <v>80.639938628321829</v>
      </c>
      <c r="P29" s="221">
        <f>+P60</f>
        <v>64018532.969999999</v>
      </c>
      <c r="Q29" s="221">
        <f t="shared" si="6"/>
        <v>90.319982971146885</v>
      </c>
      <c r="R29" s="222"/>
      <c r="S29" s="222"/>
    </row>
    <row r="30" spans="1:19">
      <c r="A30" s="45" t="s">
        <v>137</v>
      </c>
      <c r="B30" s="221">
        <f t="shared" si="65"/>
        <v>58911700</v>
      </c>
      <c r="C30" s="221">
        <f t="shared" si="65"/>
        <v>58911700</v>
      </c>
      <c r="D30" s="221">
        <f t="shared" si="65"/>
        <v>0</v>
      </c>
      <c r="E30" s="221">
        <f t="shared" si="1"/>
        <v>0</v>
      </c>
      <c r="F30" s="221">
        <f>+F61</f>
        <v>0</v>
      </c>
      <c r="G30" s="221">
        <f t="shared" si="1"/>
        <v>0</v>
      </c>
      <c r="H30" s="221">
        <f>+H61</f>
        <v>0</v>
      </c>
      <c r="I30" s="221">
        <f t="shared" ref="I30" si="70">+H30*100/$C30</f>
        <v>0</v>
      </c>
      <c r="J30" s="221">
        <f>+J61</f>
        <v>0</v>
      </c>
      <c r="K30" s="221">
        <f t="shared" ref="K30" si="71">+J30*100/$C30</f>
        <v>0</v>
      </c>
      <c r="L30" s="221">
        <f>+L61</f>
        <v>0</v>
      </c>
      <c r="M30" s="221">
        <f t="shared" ref="M30" si="72">+L30*100/$C30</f>
        <v>0</v>
      </c>
      <c r="N30" s="221">
        <f>+N61</f>
        <v>58911700</v>
      </c>
      <c r="O30" s="221">
        <f t="shared" ref="O30" si="73">+N30*100/$C30</f>
        <v>100</v>
      </c>
      <c r="P30" s="221">
        <f>+P61</f>
        <v>58911700</v>
      </c>
      <c r="Q30" s="221">
        <f t="shared" si="6"/>
        <v>100</v>
      </c>
      <c r="R30" s="222"/>
      <c r="S30" s="222"/>
    </row>
    <row r="31" spans="1:19" s="28" customFormat="1">
      <c r="A31" s="46" t="s">
        <v>135</v>
      </c>
      <c r="B31" s="223">
        <f>SUM(B29:B30)</f>
        <v>129791400</v>
      </c>
      <c r="C31" s="223">
        <f t="shared" ref="C31:P31" si="74">SUM(C29:C30)</f>
        <v>94351500</v>
      </c>
      <c r="D31" s="223">
        <f t="shared" si="74"/>
        <v>0</v>
      </c>
      <c r="E31" s="223">
        <f t="shared" si="1"/>
        <v>0</v>
      </c>
      <c r="F31" s="223">
        <f t="shared" si="74"/>
        <v>0</v>
      </c>
      <c r="G31" s="223">
        <f t="shared" si="1"/>
        <v>0</v>
      </c>
      <c r="H31" s="223">
        <f t="shared" si="74"/>
        <v>4486990</v>
      </c>
      <c r="I31" s="223">
        <f t="shared" ref="I31" si="75">+H31*100/$C31</f>
        <v>4.7556106686168214</v>
      </c>
      <c r="J31" s="223">
        <f t="shared" si="74"/>
        <v>2374177.0299999998</v>
      </c>
      <c r="K31" s="223">
        <f t="shared" ref="K31" si="76">+J31*100/$C31</f>
        <v>2.5163108482642031</v>
      </c>
      <c r="L31" s="223">
        <f t="shared" si="74"/>
        <v>6861167.0299999993</v>
      </c>
      <c r="M31" s="223">
        <f t="shared" ref="M31" si="77">+L31*100/$C31</f>
        <v>7.2719215168810232</v>
      </c>
      <c r="N31" s="223">
        <f t="shared" si="74"/>
        <v>87490332.969999999</v>
      </c>
      <c r="O31" s="223">
        <f t="shared" ref="O31" si="78">+N31*100/$C31</f>
        <v>92.728078483118978</v>
      </c>
      <c r="P31" s="223">
        <f t="shared" si="74"/>
        <v>122930232.97</v>
      </c>
      <c r="Q31" s="223">
        <f t="shared" si="6"/>
        <v>94.713696724128098</v>
      </c>
      <c r="R31" s="241"/>
      <c r="S31" s="241"/>
    </row>
    <row r="32" spans="1:19" s="28" customFormat="1">
      <c r="A32" s="44" t="s">
        <v>143</v>
      </c>
      <c r="B32" s="223"/>
      <c r="C32" s="223"/>
      <c r="D32" s="223">
        <f>+D63</f>
        <v>0</v>
      </c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41"/>
      <c r="S32" s="241"/>
    </row>
    <row r="33" spans="1:19">
      <c r="A33" s="45" t="s">
        <v>137</v>
      </c>
      <c r="B33" s="221">
        <f>+B64</f>
        <v>8500000</v>
      </c>
      <c r="C33" s="221">
        <f>+C64</f>
        <v>8500000</v>
      </c>
      <c r="D33" s="221">
        <f>+D64</f>
        <v>0</v>
      </c>
      <c r="E33" s="221">
        <f t="shared" si="1"/>
        <v>0</v>
      </c>
      <c r="F33" s="221">
        <f>+F64</f>
        <v>0</v>
      </c>
      <c r="G33" s="221">
        <f t="shared" si="1"/>
        <v>0</v>
      </c>
      <c r="H33" s="221">
        <f>+H64</f>
        <v>0</v>
      </c>
      <c r="I33" s="221">
        <f t="shared" ref="I33" si="79">+H33*100/$C33</f>
        <v>0</v>
      </c>
      <c r="J33" s="221">
        <f>+J64</f>
        <v>0</v>
      </c>
      <c r="K33" s="221">
        <f t="shared" ref="K33" si="80">+J33*100/$C33</f>
        <v>0</v>
      </c>
      <c r="L33" s="221">
        <f>+L64</f>
        <v>0</v>
      </c>
      <c r="M33" s="221">
        <f t="shared" ref="M33" si="81">+L33*100/$C33</f>
        <v>0</v>
      </c>
      <c r="N33" s="221">
        <f>+N64</f>
        <v>8500000</v>
      </c>
      <c r="O33" s="221">
        <f t="shared" ref="O33" si="82">+N33*100/$C33</f>
        <v>100</v>
      </c>
      <c r="P33" s="221">
        <f>+P64</f>
        <v>8500000</v>
      </c>
      <c r="Q33" s="221">
        <f t="shared" si="6"/>
        <v>100</v>
      </c>
      <c r="R33" s="222"/>
      <c r="S33" s="222"/>
    </row>
    <row r="34" spans="1:19">
      <c r="A34" s="45" t="s">
        <v>138</v>
      </c>
      <c r="B34" s="221">
        <f>+B65+B90</f>
        <v>20700000</v>
      </c>
      <c r="C34" s="221">
        <f t="shared" ref="C34:P34" si="83">+C65+C90</f>
        <v>10350000</v>
      </c>
      <c r="D34" s="221">
        <f t="shared" si="83"/>
        <v>0</v>
      </c>
      <c r="E34" s="221">
        <f t="shared" si="1"/>
        <v>0</v>
      </c>
      <c r="F34" s="221">
        <f t="shared" si="83"/>
        <v>0</v>
      </c>
      <c r="G34" s="221">
        <f t="shared" si="1"/>
        <v>0</v>
      </c>
      <c r="H34" s="221">
        <f t="shared" si="83"/>
        <v>1262349.3</v>
      </c>
      <c r="I34" s="221">
        <f t="shared" ref="I34" si="84">+H34*100/$C34</f>
        <v>12.196611594202899</v>
      </c>
      <c r="J34" s="221">
        <f t="shared" si="83"/>
        <v>3333121.73</v>
      </c>
      <c r="K34" s="221">
        <f t="shared" ref="K34" si="85">+J34*100/$C34</f>
        <v>32.204074685990335</v>
      </c>
      <c r="L34" s="221">
        <f t="shared" si="83"/>
        <v>4595471.0299999993</v>
      </c>
      <c r="M34" s="221">
        <f t="shared" ref="M34" si="86">+L34*100/$C34</f>
        <v>44.400686280193234</v>
      </c>
      <c r="N34" s="221">
        <f t="shared" si="83"/>
        <v>5754528.9700000007</v>
      </c>
      <c r="O34" s="221">
        <f t="shared" ref="O34" si="87">+N34*100/$C34</f>
        <v>55.599313719806773</v>
      </c>
      <c r="P34" s="221">
        <f t="shared" si="83"/>
        <v>16104528.969999999</v>
      </c>
      <c r="Q34" s="221">
        <f t="shared" si="6"/>
        <v>77.799656859903379</v>
      </c>
      <c r="R34" s="222"/>
      <c r="S34" s="222"/>
    </row>
    <row r="35" spans="1:19" s="28" customFormat="1">
      <c r="A35" s="46" t="s">
        <v>135</v>
      </c>
      <c r="B35" s="223">
        <f>SUM(B33:B34)</f>
        <v>29200000</v>
      </c>
      <c r="C35" s="223">
        <f t="shared" ref="C35:P35" si="88">SUM(C33:C34)</f>
        <v>18850000</v>
      </c>
      <c r="D35" s="223">
        <f t="shared" si="88"/>
        <v>0</v>
      </c>
      <c r="E35" s="223">
        <f t="shared" si="1"/>
        <v>0</v>
      </c>
      <c r="F35" s="223">
        <f t="shared" si="88"/>
        <v>0</v>
      </c>
      <c r="G35" s="223">
        <f t="shared" si="1"/>
        <v>0</v>
      </c>
      <c r="H35" s="223">
        <f t="shared" si="88"/>
        <v>1262349.3</v>
      </c>
      <c r="I35" s="223">
        <f t="shared" ref="I35" si="89">+H35*100/$C35</f>
        <v>6.6968132625994699</v>
      </c>
      <c r="J35" s="223">
        <f t="shared" si="88"/>
        <v>3333121.73</v>
      </c>
      <c r="K35" s="223">
        <f t="shared" ref="K35" si="90">+J35*100/$C35</f>
        <v>17.682343395225463</v>
      </c>
      <c r="L35" s="223">
        <f t="shared" si="88"/>
        <v>4595471.0299999993</v>
      </c>
      <c r="M35" s="223">
        <f t="shared" ref="M35" si="91">+L35*100/$C35</f>
        <v>24.379156657824929</v>
      </c>
      <c r="N35" s="223">
        <f t="shared" si="88"/>
        <v>14254528.970000001</v>
      </c>
      <c r="O35" s="223">
        <f t="shared" ref="O35" si="92">+N35*100/$C35</f>
        <v>75.620843342175064</v>
      </c>
      <c r="P35" s="223">
        <f t="shared" si="88"/>
        <v>24604528.969999999</v>
      </c>
      <c r="Q35" s="223">
        <f t="shared" si="6"/>
        <v>84.262085513698636</v>
      </c>
      <c r="R35" s="241"/>
      <c r="S35" s="241"/>
    </row>
    <row r="36" spans="1:19" s="28" customFormat="1">
      <c r="A36" s="46" t="s">
        <v>144</v>
      </c>
      <c r="B36" s="240"/>
      <c r="C36" s="240"/>
      <c r="D36" s="240"/>
      <c r="E36" s="223"/>
      <c r="F36" s="240"/>
      <c r="G36" s="223"/>
      <c r="H36" s="240"/>
      <c r="I36" s="223"/>
      <c r="J36" s="240"/>
      <c r="K36" s="223"/>
      <c r="L36" s="240"/>
      <c r="M36" s="223"/>
      <c r="N36" s="240"/>
      <c r="O36" s="223"/>
      <c r="P36" s="240"/>
      <c r="Q36" s="223"/>
      <c r="R36" s="241"/>
      <c r="S36" s="241"/>
    </row>
    <row r="37" spans="1:19" s="28" customFormat="1">
      <c r="A37" s="44" t="s">
        <v>133</v>
      </c>
      <c r="B37" s="223">
        <f>+B11</f>
        <v>368231400</v>
      </c>
      <c r="C37" s="223">
        <f t="shared" ref="C37:P37" si="93">+C11</f>
        <v>184115700</v>
      </c>
      <c r="D37" s="223">
        <f t="shared" si="93"/>
        <v>0</v>
      </c>
      <c r="E37" s="223">
        <f t="shared" si="1"/>
        <v>0</v>
      </c>
      <c r="F37" s="223">
        <f t="shared" si="93"/>
        <v>0</v>
      </c>
      <c r="G37" s="223">
        <f t="shared" si="1"/>
        <v>0</v>
      </c>
      <c r="H37" s="223">
        <f t="shared" si="93"/>
        <v>0</v>
      </c>
      <c r="I37" s="223">
        <f t="shared" ref="I37" si="94">+H37*100/$C37</f>
        <v>0</v>
      </c>
      <c r="J37" s="223">
        <f t="shared" si="93"/>
        <v>94670302.109999999</v>
      </c>
      <c r="K37" s="223">
        <f t="shared" ref="K37" si="95">+J37*100/$C37</f>
        <v>51.418918707095592</v>
      </c>
      <c r="L37" s="223">
        <f t="shared" si="93"/>
        <v>94670302.109999999</v>
      </c>
      <c r="M37" s="223">
        <f t="shared" ref="M37" si="96">+L37*100/$C37</f>
        <v>51.418918707095592</v>
      </c>
      <c r="N37" s="223">
        <f t="shared" si="93"/>
        <v>89445397.890000001</v>
      </c>
      <c r="O37" s="223">
        <f t="shared" ref="O37" si="97">+N37*100/$C37</f>
        <v>48.581081292904408</v>
      </c>
      <c r="P37" s="223">
        <f t="shared" si="93"/>
        <v>273561097.88999999</v>
      </c>
      <c r="Q37" s="223">
        <f t="shared" si="6"/>
        <v>74.2905406464522</v>
      </c>
      <c r="R37" s="241"/>
      <c r="S37" s="241"/>
    </row>
    <row r="38" spans="1:19" s="28" customFormat="1">
      <c r="A38" s="44" t="s">
        <v>134</v>
      </c>
      <c r="B38" s="223">
        <f>+B12+B15+B20+B29</f>
        <v>274945000</v>
      </c>
      <c r="C38" s="223">
        <f t="shared" ref="C38:P38" si="98">+C12+C15+C20+C29</f>
        <v>137464900</v>
      </c>
      <c r="D38" s="223">
        <f t="shared" si="98"/>
        <v>0</v>
      </c>
      <c r="E38" s="223">
        <f t="shared" si="1"/>
        <v>0</v>
      </c>
      <c r="F38" s="223">
        <f t="shared" si="98"/>
        <v>0</v>
      </c>
      <c r="G38" s="223">
        <f t="shared" si="1"/>
        <v>0</v>
      </c>
      <c r="H38" s="223">
        <f t="shared" si="98"/>
        <v>27730717.300000001</v>
      </c>
      <c r="I38" s="223">
        <f t="shared" ref="I38" si="99">+H38*100/$C38</f>
        <v>20.172944002432622</v>
      </c>
      <c r="J38" s="223">
        <f t="shared" si="98"/>
        <v>33285046.629999999</v>
      </c>
      <c r="K38" s="223">
        <f t="shared" ref="K38" si="100">+J38*100/$C38</f>
        <v>24.213487683037634</v>
      </c>
      <c r="L38" s="223">
        <f t="shared" si="98"/>
        <v>61015763.930000007</v>
      </c>
      <c r="M38" s="223">
        <f t="shared" ref="M38" si="101">+L38*100/$C38</f>
        <v>44.386431685470264</v>
      </c>
      <c r="N38" s="223">
        <f t="shared" si="98"/>
        <v>76449136.069999993</v>
      </c>
      <c r="O38" s="223">
        <f t="shared" ref="O38" si="102">+N38*100/$C38</f>
        <v>55.613568314529736</v>
      </c>
      <c r="P38" s="223">
        <f t="shared" si="98"/>
        <v>213929236.06999999</v>
      </c>
      <c r="Q38" s="223">
        <f t="shared" si="6"/>
        <v>77.808011082216439</v>
      </c>
      <c r="R38" s="241"/>
      <c r="S38" s="241"/>
    </row>
    <row r="39" spans="1:19" s="28" customFormat="1">
      <c r="A39" s="44" t="s">
        <v>137</v>
      </c>
      <c r="B39" s="223">
        <f>+B16+B21+B30+B33</f>
        <v>230145300</v>
      </c>
      <c r="C39" s="223">
        <f t="shared" ref="C39:P39" si="103">+C16+C21+C30+C33</f>
        <v>230145300</v>
      </c>
      <c r="D39" s="223">
        <f t="shared" si="103"/>
        <v>0</v>
      </c>
      <c r="E39" s="223">
        <f t="shared" si="1"/>
        <v>0</v>
      </c>
      <c r="F39" s="223">
        <f t="shared" si="103"/>
        <v>0</v>
      </c>
      <c r="G39" s="223">
        <f t="shared" si="1"/>
        <v>0</v>
      </c>
      <c r="H39" s="223">
        <f t="shared" si="103"/>
        <v>2321133.4900000002</v>
      </c>
      <c r="I39" s="223">
        <f t="shared" ref="I39" si="104">+H39*100/$C39</f>
        <v>1.0085513325712063</v>
      </c>
      <c r="J39" s="223">
        <f t="shared" si="103"/>
        <v>1125127.3999999999</v>
      </c>
      <c r="K39" s="223">
        <f t="shared" ref="K39" si="105">+J39*100/$C39</f>
        <v>0.48887698336659485</v>
      </c>
      <c r="L39" s="223">
        <f t="shared" si="103"/>
        <v>3446260.89</v>
      </c>
      <c r="M39" s="223">
        <f t="shared" ref="M39" si="106">+L39*100/$C39</f>
        <v>1.497428315937801</v>
      </c>
      <c r="N39" s="223">
        <f t="shared" si="103"/>
        <v>226699039.11000001</v>
      </c>
      <c r="O39" s="223">
        <f t="shared" ref="O39" si="107">+N39*100/$C39</f>
        <v>98.502571684062204</v>
      </c>
      <c r="P39" s="223">
        <f t="shared" si="103"/>
        <v>226699039.11000001</v>
      </c>
      <c r="Q39" s="223">
        <f t="shared" si="6"/>
        <v>98.502571684062204</v>
      </c>
      <c r="R39" s="241"/>
      <c r="S39" s="241"/>
    </row>
    <row r="40" spans="1:19" s="28" customFormat="1">
      <c r="A40" s="44" t="s">
        <v>138</v>
      </c>
      <c r="B40" s="223">
        <f>+B17+B34</f>
        <v>24715000</v>
      </c>
      <c r="C40" s="223">
        <f t="shared" ref="C40:P40" si="108">+C17+C34</f>
        <v>12365000</v>
      </c>
      <c r="D40" s="223">
        <f t="shared" si="108"/>
        <v>0</v>
      </c>
      <c r="E40" s="223">
        <f t="shared" si="1"/>
        <v>0</v>
      </c>
      <c r="F40" s="223">
        <f t="shared" si="108"/>
        <v>0</v>
      </c>
      <c r="G40" s="223">
        <f t="shared" si="1"/>
        <v>0</v>
      </c>
      <c r="H40" s="223">
        <f t="shared" si="108"/>
        <v>1262349.3</v>
      </c>
      <c r="I40" s="223">
        <f t="shared" ref="I40" si="109">+H40*100/$C40</f>
        <v>10.209052163364335</v>
      </c>
      <c r="J40" s="223">
        <f t="shared" si="108"/>
        <v>3575583.23</v>
      </c>
      <c r="K40" s="223">
        <f t="shared" ref="K40" si="110">+J40*100/$C40</f>
        <v>28.916969106348564</v>
      </c>
      <c r="L40" s="223">
        <f t="shared" si="108"/>
        <v>4837932.5299999993</v>
      </c>
      <c r="M40" s="223">
        <f t="shared" ref="M40" si="111">+L40*100/$C40</f>
        <v>39.126021269712894</v>
      </c>
      <c r="N40" s="223">
        <f t="shared" si="108"/>
        <v>7527067.4700000007</v>
      </c>
      <c r="O40" s="223">
        <f t="shared" ref="O40" si="112">+N40*100/$C40</f>
        <v>60.873978730287114</v>
      </c>
      <c r="P40" s="223">
        <f t="shared" si="108"/>
        <v>19877067.469999999</v>
      </c>
      <c r="Q40" s="223">
        <f t="shared" si="6"/>
        <v>80.425116204733968</v>
      </c>
      <c r="R40" s="241"/>
      <c r="S40" s="241"/>
    </row>
    <row r="41" spans="1:19" s="28" customFormat="1">
      <c r="A41" s="46" t="s">
        <v>144</v>
      </c>
      <c r="B41" s="223">
        <f>SUM(B37:B40)</f>
        <v>898036700</v>
      </c>
      <c r="C41" s="223">
        <f t="shared" ref="C41:P41" si="113">SUM(C37:C40)</f>
        <v>564090900</v>
      </c>
      <c r="D41" s="223">
        <f t="shared" si="113"/>
        <v>0</v>
      </c>
      <c r="E41" s="223">
        <f t="shared" si="1"/>
        <v>0</v>
      </c>
      <c r="F41" s="223">
        <f t="shared" si="113"/>
        <v>0</v>
      </c>
      <c r="G41" s="223">
        <f t="shared" si="1"/>
        <v>0</v>
      </c>
      <c r="H41" s="223">
        <f t="shared" si="113"/>
        <v>31314200.09</v>
      </c>
      <c r="I41" s="223">
        <f t="shared" ref="I41" si="114">+H41*100/$C41</f>
        <v>5.5512684374096448</v>
      </c>
      <c r="J41" s="223">
        <f t="shared" si="113"/>
        <v>132656059.37</v>
      </c>
      <c r="K41" s="223">
        <f t="shared" ref="K41" si="115">+J41*100/$C41</f>
        <v>23.516787696805604</v>
      </c>
      <c r="L41" s="223">
        <f t="shared" si="113"/>
        <v>163970259.46000001</v>
      </c>
      <c r="M41" s="223">
        <f t="shared" ref="M41" si="116">+L41*100/$C41</f>
        <v>29.068056134215247</v>
      </c>
      <c r="N41" s="223">
        <f t="shared" si="113"/>
        <v>400120640.54000002</v>
      </c>
      <c r="O41" s="223">
        <f t="shared" ref="O41" si="117">+N41*100/$C41</f>
        <v>70.931943865784746</v>
      </c>
      <c r="P41" s="223">
        <f t="shared" si="113"/>
        <v>734066440.53999996</v>
      </c>
      <c r="Q41" s="223">
        <f t="shared" si="6"/>
        <v>81.74125183748059</v>
      </c>
      <c r="R41" s="241"/>
      <c r="S41" s="241"/>
    </row>
    <row r="42" spans="1:19">
      <c r="R42" s="222"/>
      <c r="S42" s="222"/>
    </row>
    <row r="43" spans="1:19" s="28" customFormat="1">
      <c r="A43" s="47" t="s">
        <v>146</v>
      </c>
      <c r="R43" s="241"/>
      <c r="S43" s="241"/>
    </row>
    <row r="44" spans="1:19" s="28" customFormat="1" ht="21" customHeight="1">
      <c r="A44" s="1023" t="s">
        <v>130</v>
      </c>
      <c r="B44" s="1025" t="s">
        <v>118</v>
      </c>
      <c r="C44" s="1025" t="s">
        <v>131</v>
      </c>
      <c r="D44" s="1027" t="s">
        <v>5</v>
      </c>
      <c r="E44" s="1027"/>
      <c r="F44" s="1028" t="s">
        <v>6</v>
      </c>
      <c r="G44" s="1028"/>
      <c r="H44" s="1017" t="s">
        <v>7</v>
      </c>
      <c r="I44" s="1017"/>
      <c r="J44" s="1018" t="s">
        <v>127</v>
      </c>
      <c r="K44" s="1018"/>
      <c r="L44" s="1019" t="s">
        <v>121</v>
      </c>
      <c r="M44" s="1019"/>
      <c r="N44" s="1020" t="s">
        <v>128</v>
      </c>
      <c r="O44" s="1020"/>
      <c r="P44" s="1020" t="s">
        <v>129</v>
      </c>
      <c r="Q44" s="1020"/>
      <c r="R44" s="241"/>
      <c r="S44" s="241"/>
    </row>
    <row r="45" spans="1:19" s="28" customFormat="1">
      <c r="A45" s="1024"/>
      <c r="B45" s="1026"/>
      <c r="C45" s="1026"/>
      <c r="D45" s="38" t="s">
        <v>119</v>
      </c>
      <c r="E45" s="38" t="s">
        <v>124</v>
      </c>
      <c r="F45" s="38" t="s">
        <v>119</v>
      </c>
      <c r="G45" s="38" t="s">
        <v>124</v>
      </c>
      <c r="H45" s="38" t="s">
        <v>119</v>
      </c>
      <c r="I45" s="38" t="s">
        <v>124</v>
      </c>
      <c r="J45" s="38" t="s">
        <v>119</v>
      </c>
      <c r="K45" s="38" t="s">
        <v>124</v>
      </c>
      <c r="L45" s="38" t="s">
        <v>119</v>
      </c>
      <c r="M45" s="38" t="s">
        <v>124</v>
      </c>
      <c r="N45" s="38" t="s">
        <v>119</v>
      </c>
      <c r="O45" s="38" t="s">
        <v>124</v>
      </c>
      <c r="P45" s="38" t="s">
        <v>119</v>
      </c>
      <c r="Q45" s="38" t="s">
        <v>124</v>
      </c>
      <c r="R45" s="241"/>
      <c r="S45" s="241"/>
    </row>
    <row r="46" spans="1:19" s="28" customFormat="1">
      <c r="A46" s="44" t="s">
        <v>132</v>
      </c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1"/>
      <c r="S46" s="241"/>
    </row>
    <row r="47" spans="1:19">
      <c r="A47" s="45" t="s">
        <v>133</v>
      </c>
      <c r="B47" s="45">
        <v>368231400</v>
      </c>
      <c r="C47" s="45">
        <v>184115700</v>
      </c>
      <c r="D47" s="45"/>
      <c r="E47" s="45">
        <f>+D47*100/$C47</f>
        <v>0</v>
      </c>
      <c r="F47" s="45"/>
      <c r="G47" s="45">
        <f>+F47*100/$C47</f>
        <v>0</v>
      </c>
      <c r="H47" s="45"/>
      <c r="I47" s="45">
        <f>+H47*100/$C47</f>
        <v>0</v>
      </c>
      <c r="J47" s="45">
        <v>94670302.109999999</v>
      </c>
      <c r="K47" s="45">
        <f>+J47*100/$C47</f>
        <v>51.418918707095592</v>
      </c>
      <c r="L47" s="45">
        <f>+D47+F47+H47+J47</f>
        <v>94670302.109999999</v>
      </c>
      <c r="M47" s="45">
        <f>+L47*100/$C47</f>
        <v>51.418918707095592</v>
      </c>
      <c r="N47" s="45">
        <f>+C47-L47</f>
        <v>89445397.890000001</v>
      </c>
      <c r="O47" s="45">
        <f>+N47*100/$C47</f>
        <v>48.581081292904408</v>
      </c>
      <c r="P47" s="45">
        <f>+B47-L47</f>
        <v>273561097.88999999</v>
      </c>
      <c r="Q47" s="45">
        <f>+P47*100/B47</f>
        <v>74.2905406464522</v>
      </c>
      <c r="R47" s="222"/>
      <c r="S47" s="222"/>
    </row>
    <row r="48" spans="1:19">
      <c r="A48" s="45" t="s">
        <v>134</v>
      </c>
      <c r="B48" s="45">
        <v>24429600</v>
      </c>
      <c r="C48" s="45">
        <v>12214800</v>
      </c>
      <c r="D48" s="45"/>
      <c r="E48" s="45">
        <f>+D48*100/$C48</f>
        <v>0</v>
      </c>
      <c r="F48" s="45"/>
      <c r="G48" s="45">
        <f>+F48*100/$C48</f>
        <v>0</v>
      </c>
      <c r="H48" s="45"/>
      <c r="I48" s="45">
        <f>+H48*100/$C48</f>
        <v>0</v>
      </c>
      <c r="J48" s="45">
        <v>5386723.2199999997</v>
      </c>
      <c r="K48" s="45">
        <f>+J48*100/$C48</f>
        <v>44.099970691292533</v>
      </c>
      <c r="L48" s="45">
        <f>+D48+F48+H48+J48</f>
        <v>5386723.2199999997</v>
      </c>
      <c r="M48" s="45">
        <f>+L48*100/$C48</f>
        <v>44.099970691292533</v>
      </c>
      <c r="N48" s="45">
        <f t="shared" ref="N48:N65" si="118">+C48-L48</f>
        <v>6828076.7800000003</v>
      </c>
      <c r="O48" s="45">
        <f>+N48*100/$C48</f>
        <v>55.900029308707467</v>
      </c>
      <c r="P48" s="45">
        <f t="shared" ref="P48:P65" si="119">+B48-L48</f>
        <v>19042876.780000001</v>
      </c>
      <c r="Q48" s="45">
        <f t="shared" ref="Q48:Q72" si="120">+P48*100/B48</f>
        <v>77.950014654353737</v>
      </c>
      <c r="R48" s="222"/>
      <c r="S48" s="222"/>
    </row>
    <row r="49" spans="1:19" s="28" customFormat="1">
      <c r="A49" s="46" t="s">
        <v>135</v>
      </c>
      <c r="B49" s="44">
        <f>SUM(B47:B48)</f>
        <v>392661000</v>
      </c>
      <c r="C49" s="44">
        <f>SUM(C47:C48)</f>
        <v>196330500</v>
      </c>
      <c r="D49" s="44">
        <f t="shared" ref="D49:L49" si="121">SUM(D47:D48)</f>
        <v>0</v>
      </c>
      <c r="E49" s="44">
        <f t="shared" ref="E49:G72" si="122">+D49*100/$C49</f>
        <v>0</v>
      </c>
      <c r="F49" s="44">
        <f t="shared" si="121"/>
        <v>0</v>
      </c>
      <c r="G49" s="44">
        <f t="shared" si="122"/>
        <v>0</v>
      </c>
      <c r="H49" s="44">
        <f t="shared" si="121"/>
        <v>0</v>
      </c>
      <c r="I49" s="44">
        <f t="shared" ref="I49" si="123">+H49*100/$C49</f>
        <v>0</v>
      </c>
      <c r="J49" s="44">
        <f t="shared" si="121"/>
        <v>100057025.33</v>
      </c>
      <c r="K49" s="44">
        <f t="shared" ref="K49" si="124">+J49*100/$C49</f>
        <v>50.963566705122233</v>
      </c>
      <c r="L49" s="44">
        <f t="shared" si="121"/>
        <v>100057025.33</v>
      </c>
      <c r="M49" s="44">
        <f t="shared" ref="M49" si="125">+L49*100/$C49</f>
        <v>50.963566705122233</v>
      </c>
      <c r="N49" s="44">
        <f>SUM(N47:N48)</f>
        <v>96273474.670000002</v>
      </c>
      <c r="O49" s="44">
        <f t="shared" ref="O49" si="126">+N49*100/$C49</f>
        <v>49.036433294877767</v>
      </c>
      <c r="P49" s="44">
        <f>SUM(P47:P48)</f>
        <v>292603974.66999996</v>
      </c>
      <c r="Q49" s="44">
        <f t="shared" si="120"/>
        <v>74.518216647438877</v>
      </c>
      <c r="R49" s="241"/>
      <c r="S49" s="241"/>
    </row>
    <row r="50" spans="1:19" s="28" customFormat="1">
      <c r="A50" s="44" t="s">
        <v>136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241"/>
      <c r="S50" s="241"/>
    </row>
    <row r="51" spans="1:19">
      <c r="A51" s="45" t="s">
        <v>134</v>
      </c>
      <c r="B51" s="45">
        <f>164581300-873220</f>
        <v>163708080</v>
      </c>
      <c r="C51" s="45">
        <f>82290600-873220</f>
        <v>81417380</v>
      </c>
      <c r="D51" s="45"/>
      <c r="E51" s="45">
        <f t="shared" si="122"/>
        <v>0</v>
      </c>
      <c r="F51" s="45"/>
      <c r="G51" s="45">
        <f t="shared" si="122"/>
        <v>0</v>
      </c>
      <c r="H51" s="45">
        <v>20052778.449999999</v>
      </c>
      <c r="I51" s="45">
        <f t="shared" ref="I51" si="127">+H51*100/$C51</f>
        <v>24.6296042073572</v>
      </c>
      <c r="J51" s="45">
        <v>24309970.640000001</v>
      </c>
      <c r="K51" s="45">
        <f t="shared" ref="K51" si="128">+J51*100/$C51</f>
        <v>29.858453612729861</v>
      </c>
      <c r="L51" s="45">
        <f>+D51+F51+H51+J51</f>
        <v>44362749.090000004</v>
      </c>
      <c r="M51" s="45">
        <f t="shared" ref="M51" si="129">+L51*100/$C51</f>
        <v>54.488057820087064</v>
      </c>
      <c r="N51" s="45">
        <f t="shared" si="118"/>
        <v>37054630.909999996</v>
      </c>
      <c r="O51" s="45">
        <f t="shared" ref="O51" si="130">+N51*100/$C51</f>
        <v>45.511942179912928</v>
      </c>
      <c r="P51" s="45">
        <f t="shared" si="119"/>
        <v>119345330.91</v>
      </c>
      <c r="Q51" s="45">
        <f t="shared" si="120"/>
        <v>72.901307565271054</v>
      </c>
      <c r="R51" s="222"/>
      <c r="S51" s="222"/>
    </row>
    <row r="52" spans="1:19">
      <c r="A52" s="45" t="s">
        <v>137</v>
      </c>
      <c r="B52" s="45">
        <v>160358300</v>
      </c>
      <c r="C52" s="45">
        <f>1650000+665000+2100000+2288000+107000+23500+1851300+83000+118500+9900+1369500+246000+35000+2400+2300+19000+9600+23000+31000+16000+59800+91800+19900+34800+30000+38600+23000+2200000+250000+32000+50000+153700+80000+26000+134000+30900+40900+43000+214400+99000+47000+55000+30000+4800+39500+110600+45600+258500+4800+2300+19300+21700+10200+18500+115600+171200+20000000+8670000+7033800+9430000+2910000+31183000+54240000+7700000+3935100</f>
        <v>160358300</v>
      </c>
      <c r="D52" s="45"/>
      <c r="E52" s="45">
        <f t="shared" si="122"/>
        <v>0</v>
      </c>
      <c r="F52" s="45"/>
      <c r="G52" s="45">
        <f t="shared" si="122"/>
        <v>0</v>
      </c>
      <c r="H52" s="45">
        <f>91500+681527.94+246000+102600+128641.82</f>
        <v>1250269.76</v>
      </c>
      <c r="I52" s="45">
        <f t="shared" ref="I52" si="131">+H52*100/$C52</f>
        <v>0.7796726206251875</v>
      </c>
      <c r="J52" s="45">
        <f>9900+34775+19000+9600+20000+18500+15840+58360+31662+19795+34800+29000+37900+23000+26000+47000+55000+27285+4800+39500+30730.4+19300+12950+9900+18500+112000+170130</f>
        <v>935227.4</v>
      </c>
      <c r="K52" s="45">
        <f t="shared" ref="K52" si="132">+J52*100/$C52</f>
        <v>0.58321109665043847</v>
      </c>
      <c r="L52" s="45">
        <f t="shared" ref="L52:L53" si="133">+D52+F52+H52+J52</f>
        <v>2185497.16</v>
      </c>
      <c r="M52" s="45">
        <f t="shared" ref="M52" si="134">+L52*100/$C52</f>
        <v>1.3628837172756259</v>
      </c>
      <c r="N52" s="45">
        <f t="shared" si="118"/>
        <v>158172802.84</v>
      </c>
      <c r="O52" s="45">
        <f t="shared" ref="O52" si="135">+N52*100/$C52</f>
        <v>98.637116282724378</v>
      </c>
      <c r="P52" s="45">
        <f t="shared" si="119"/>
        <v>158172802.84</v>
      </c>
      <c r="Q52" s="45">
        <f t="shared" si="120"/>
        <v>98.637116282724378</v>
      </c>
      <c r="R52" s="222"/>
      <c r="S52" s="222"/>
    </row>
    <row r="53" spans="1:19">
      <c r="A53" s="45" t="s">
        <v>138</v>
      </c>
      <c r="B53" s="45">
        <f>4000000+15000</f>
        <v>4015000</v>
      </c>
      <c r="C53" s="45">
        <f>750000+500000+750000+15000</f>
        <v>2015000</v>
      </c>
      <c r="D53" s="45"/>
      <c r="E53" s="45">
        <f t="shared" si="122"/>
        <v>0</v>
      </c>
      <c r="F53" s="45"/>
      <c r="G53" s="45">
        <f t="shared" si="122"/>
        <v>0</v>
      </c>
      <c r="H53" s="45"/>
      <c r="I53" s="45">
        <f t="shared" ref="I53" si="136">+H53*100/$C53</f>
        <v>0</v>
      </c>
      <c r="J53" s="45">
        <f>88990.31+138471.19+15000</f>
        <v>242461.5</v>
      </c>
      <c r="K53" s="45">
        <f t="shared" ref="K53" si="137">+J53*100/$C53</f>
        <v>12.032828784119106</v>
      </c>
      <c r="L53" s="45">
        <f t="shared" si="133"/>
        <v>242461.5</v>
      </c>
      <c r="M53" s="45">
        <f t="shared" ref="M53" si="138">+L53*100/$C53</f>
        <v>12.032828784119106</v>
      </c>
      <c r="N53" s="45">
        <f t="shared" si="118"/>
        <v>1772538.5</v>
      </c>
      <c r="O53" s="45">
        <f t="shared" ref="O53" si="139">+N53*100/$C53</f>
        <v>87.967171215880896</v>
      </c>
      <c r="P53" s="45">
        <f t="shared" si="119"/>
        <v>3772538.5</v>
      </c>
      <c r="Q53" s="45">
        <f t="shared" si="120"/>
        <v>93.961108343711089</v>
      </c>
      <c r="R53" s="222"/>
      <c r="S53" s="222"/>
    </row>
    <row r="54" spans="1:19" s="28" customFormat="1">
      <c r="A54" s="46" t="s">
        <v>135</v>
      </c>
      <c r="B54" s="44">
        <f>SUM(B51:B53)</f>
        <v>328081380</v>
      </c>
      <c r="C54" s="44">
        <f>SUM(C51:C53)</f>
        <v>243790680</v>
      </c>
      <c r="D54" s="44">
        <f t="shared" ref="D54:L54" si="140">SUM(D51:D53)</f>
        <v>0</v>
      </c>
      <c r="E54" s="44">
        <f t="shared" si="122"/>
        <v>0</v>
      </c>
      <c r="F54" s="44">
        <f t="shared" si="140"/>
        <v>0</v>
      </c>
      <c r="G54" s="44">
        <f t="shared" si="122"/>
        <v>0</v>
      </c>
      <c r="H54" s="44">
        <f t="shared" si="140"/>
        <v>21303048.210000001</v>
      </c>
      <c r="I54" s="44">
        <f t="shared" ref="I54" si="141">+H54*100/$C54</f>
        <v>8.7382537388221735</v>
      </c>
      <c r="J54" s="44">
        <f t="shared" si="140"/>
        <v>25487659.539999999</v>
      </c>
      <c r="K54" s="44">
        <f t="shared" ref="K54" si="142">+J54*100/$C54</f>
        <v>10.454730894552656</v>
      </c>
      <c r="L54" s="44">
        <f t="shared" si="140"/>
        <v>46790707.75</v>
      </c>
      <c r="M54" s="44">
        <f t="shared" ref="M54" si="143">+L54*100/$C54</f>
        <v>19.192984633374827</v>
      </c>
      <c r="N54" s="44">
        <f>SUM(N51:N53)</f>
        <v>196999972.25</v>
      </c>
      <c r="O54" s="44">
        <f t="shared" ref="O54" si="144">+N54*100/$C54</f>
        <v>80.807015366625166</v>
      </c>
      <c r="P54" s="44">
        <f>SUM(P51:P53)</f>
        <v>281290672.25</v>
      </c>
      <c r="Q54" s="44">
        <f t="shared" si="120"/>
        <v>85.738078841901967</v>
      </c>
      <c r="R54" s="241"/>
      <c r="S54" s="241"/>
    </row>
    <row r="55" spans="1:19" s="28" customFormat="1">
      <c r="A55" s="44" t="s">
        <v>139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241"/>
      <c r="S55" s="241"/>
    </row>
    <row r="56" spans="1:19">
      <c r="A56" s="45" t="s">
        <v>134</v>
      </c>
      <c r="B56" s="45">
        <v>15069400</v>
      </c>
      <c r="C56" s="45">
        <v>7534700</v>
      </c>
      <c r="D56" s="45"/>
      <c r="E56" s="45">
        <f t="shared" si="122"/>
        <v>0</v>
      </c>
      <c r="F56" s="45"/>
      <c r="G56" s="45">
        <f t="shared" si="122"/>
        <v>0</v>
      </c>
      <c r="H56" s="45">
        <v>3183148.85</v>
      </c>
      <c r="I56" s="45">
        <f t="shared" ref="I56" si="145">+H56*100/$C56</f>
        <v>42.246524081914345</v>
      </c>
      <c r="J56" s="45">
        <v>1209932.1499999999</v>
      </c>
      <c r="K56" s="45">
        <f t="shared" ref="K56" si="146">+J56*100/$C56</f>
        <v>16.058133037811722</v>
      </c>
      <c r="L56" s="45">
        <f>+D56+F56+H56+J56</f>
        <v>4393081</v>
      </c>
      <c r="M56" s="45">
        <f t="shared" ref="M56" si="147">+L56*100/$C56</f>
        <v>58.304657119726066</v>
      </c>
      <c r="N56" s="45">
        <f t="shared" si="118"/>
        <v>3141619</v>
      </c>
      <c r="O56" s="45">
        <f t="shared" ref="O56" si="148">+N56*100/$C56</f>
        <v>41.695342880273934</v>
      </c>
      <c r="P56" s="45">
        <f t="shared" si="119"/>
        <v>10676319</v>
      </c>
      <c r="Q56" s="45">
        <f t="shared" si="120"/>
        <v>70.847671440136963</v>
      </c>
      <c r="R56" s="222"/>
      <c r="S56" s="222"/>
    </row>
    <row r="57" spans="1:19">
      <c r="A57" s="45" t="s">
        <v>137</v>
      </c>
      <c r="B57" s="45">
        <v>2375300</v>
      </c>
      <c r="C57" s="45">
        <v>2375300</v>
      </c>
      <c r="D57" s="45"/>
      <c r="E57" s="45">
        <f t="shared" si="122"/>
        <v>0</v>
      </c>
      <c r="F57" s="45"/>
      <c r="G57" s="45">
        <f t="shared" si="122"/>
        <v>0</v>
      </c>
      <c r="H57" s="45">
        <f>39900+218280+812683.73</f>
        <v>1070863.73</v>
      </c>
      <c r="I57" s="45">
        <f t="shared" ref="I57" si="149">+H57*100/$C57</f>
        <v>45.083304424704245</v>
      </c>
      <c r="J57" s="45">
        <f>32200+45500+59200+53000</f>
        <v>189900</v>
      </c>
      <c r="K57" s="45">
        <f t="shared" ref="K57" si="150">+J57*100/$C57</f>
        <v>7.9947796067865111</v>
      </c>
      <c r="L57" s="45">
        <f>+D57+F57+H57+J57</f>
        <v>1260763.73</v>
      </c>
      <c r="M57" s="45">
        <f t="shared" ref="M57" si="151">+L57*100/$C57</f>
        <v>53.078084031490761</v>
      </c>
      <c r="N57" s="45">
        <f t="shared" si="118"/>
        <v>1114536.27</v>
      </c>
      <c r="O57" s="45">
        <f t="shared" ref="O57" si="152">+N57*100/$C57</f>
        <v>46.921915968509239</v>
      </c>
      <c r="P57" s="45">
        <f t="shared" si="119"/>
        <v>1114536.27</v>
      </c>
      <c r="Q57" s="45">
        <f t="shared" si="120"/>
        <v>46.921915968509239</v>
      </c>
      <c r="R57" s="222"/>
      <c r="S57" s="222"/>
    </row>
    <row r="58" spans="1:19" s="28" customFormat="1">
      <c r="A58" s="46" t="s">
        <v>135</v>
      </c>
      <c r="B58" s="44">
        <f>SUM(B56:B57)</f>
        <v>17444700</v>
      </c>
      <c r="C58" s="44">
        <f>SUM(C56:C57)</f>
        <v>9910000</v>
      </c>
      <c r="D58" s="44">
        <f t="shared" ref="D58:L58" si="153">SUM(D56:D57)</f>
        <v>0</v>
      </c>
      <c r="E58" s="44">
        <f t="shared" si="122"/>
        <v>0</v>
      </c>
      <c r="F58" s="44">
        <f t="shared" si="153"/>
        <v>0</v>
      </c>
      <c r="G58" s="44">
        <f t="shared" si="122"/>
        <v>0</v>
      </c>
      <c r="H58" s="44">
        <f t="shared" si="153"/>
        <v>4254012.58</v>
      </c>
      <c r="I58" s="44">
        <f t="shared" ref="I58" si="154">+H58*100/$C58</f>
        <v>42.926463975782042</v>
      </c>
      <c r="J58" s="44">
        <f t="shared" si="153"/>
        <v>1399832.15</v>
      </c>
      <c r="K58" s="44">
        <f t="shared" ref="K58" si="155">+J58*100/$C58</f>
        <v>14.125450554994954</v>
      </c>
      <c r="L58" s="44">
        <f t="shared" si="153"/>
        <v>5653844.7300000004</v>
      </c>
      <c r="M58" s="44">
        <f t="shared" ref="M58" si="156">+L58*100/$C58</f>
        <v>57.05191453077699</v>
      </c>
      <c r="N58" s="44">
        <f>SUM(N56:N57)</f>
        <v>4256155.2699999996</v>
      </c>
      <c r="O58" s="44">
        <f t="shared" ref="O58" si="157">+N58*100/$C58</f>
        <v>42.948085469223003</v>
      </c>
      <c r="P58" s="44">
        <f>SUM(P56:P57)</f>
        <v>11790855.27</v>
      </c>
      <c r="Q58" s="44">
        <f t="shared" si="120"/>
        <v>67.589899912294285</v>
      </c>
      <c r="R58" s="241"/>
      <c r="S58" s="241"/>
    </row>
    <row r="59" spans="1:19" s="28" customFormat="1">
      <c r="A59" s="44" t="s">
        <v>142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241"/>
      <c r="S59" s="241"/>
    </row>
    <row r="60" spans="1:19">
      <c r="A60" s="45" t="s">
        <v>134</v>
      </c>
      <c r="B60" s="45">
        <v>70879700</v>
      </c>
      <c r="C60" s="45">
        <v>35439800</v>
      </c>
      <c r="D60" s="45"/>
      <c r="E60" s="45">
        <f t="shared" si="122"/>
        <v>0</v>
      </c>
      <c r="F60" s="45"/>
      <c r="G60" s="45">
        <f t="shared" si="122"/>
        <v>0</v>
      </c>
      <c r="H60" s="45">
        <v>4486990</v>
      </c>
      <c r="I60" s="45">
        <f t="shared" ref="I60" si="158">+H60*100/$C60</f>
        <v>12.660878447395302</v>
      </c>
      <c r="J60" s="45">
        <v>2374177.0299999998</v>
      </c>
      <c r="K60" s="45">
        <f t="shared" ref="K60" si="159">+J60*100/$C60</f>
        <v>6.6991829242828675</v>
      </c>
      <c r="L60" s="45">
        <f>+D60+F60+H60+J60</f>
        <v>6861167.0299999993</v>
      </c>
      <c r="M60" s="45">
        <f t="shared" ref="M60" si="160">+L60*100/$C60</f>
        <v>19.360061371678167</v>
      </c>
      <c r="N60" s="45">
        <f t="shared" si="118"/>
        <v>28578632.969999999</v>
      </c>
      <c r="O60" s="45">
        <f t="shared" ref="O60" si="161">+N60*100/$C60</f>
        <v>80.639938628321829</v>
      </c>
      <c r="P60" s="45">
        <f t="shared" si="119"/>
        <v>64018532.969999999</v>
      </c>
      <c r="Q60" s="45">
        <f t="shared" si="120"/>
        <v>90.319982971146885</v>
      </c>
      <c r="R60" s="222"/>
      <c r="S60" s="222"/>
    </row>
    <row r="61" spans="1:19">
      <c r="A61" s="45" t="s">
        <v>137</v>
      </c>
      <c r="B61" s="45">
        <v>58911700</v>
      </c>
      <c r="C61" s="45">
        <v>58911700</v>
      </c>
      <c r="D61" s="45"/>
      <c r="E61" s="45">
        <f t="shared" si="122"/>
        <v>0</v>
      </c>
      <c r="F61" s="45"/>
      <c r="G61" s="45">
        <f t="shared" si="122"/>
        <v>0</v>
      </c>
      <c r="H61" s="45"/>
      <c r="I61" s="45">
        <f t="shared" ref="I61" si="162">+H61*100/$C61</f>
        <v>0</v>
      </c>
      <c r="J61" s="45"/>
      <c r="K61" s="45">
        <f t="shared" ref="K61" si="163">+J61*100/$C61</f>
        <v>0</v>
      </c>
      <c r="L61" s="45">
        <f>+D61+F61+H61+J61</f>
        <v>0</v>
      </c>
      <c r="M61" s="45">
        <f t="shared" ref="M61" si="164">+L61*100/$C61</f>
        <v>0</v>
      </c>
      <c r="N61" s="45">
        <f t="shared" si="118"/>
        <v>58911700</v>
      </c>
      <c r="O61" s="45">
        <f t="shared" ref="O61:O62" si="165">+N61*100/$C61</f>
        <v>100</v>
      </c>
      <c r="P61" s="45">
        <f t="shared" si="119"/>
        <v>58911700</v>
      </c>
      <c r="Q61" s="45">
        <f t="shared" si="120"/>
        <v>100</v>
      </c>
      <c r="R61" s="222"/>
      <c r="S61" s="222"/>
    </row>
    <row r="62" spans="1:19" s="28" customFormat="1">
      <c r="A62" s="46" t="s">
        <v>135</v>
      </c>
      <c r="B62" s="44">
        <f>SUM(B60:B61)</f>
        <v>129791400</v>
      </c>
      <c r="C62" s="44">
        <f>SUM(C60:C61)</f>
        <v>94351500</v>
      </c>
      <c r="D62" s="44">
        <f t="shared" ref="D62:L62" si="166">SUM(D60:D61)</f>
        <v>0</v>
      </c>
      <c r="E62" s="44">
        <f t="shared" si="122"/>
        <v>0</v>
      </c>
      <c r="F62" s="44">
        <f t="shared" si="166"/>
        <v>0</v>
      </c>
      <c r="G62" s="44">
        <f t="shared" si="122"/>
        <v>0</v>
      </c>
      <c r="H62" s="44">
        <f t="shared" si="166"/>
        <v>4486990</v>
      </c>
      <c r="I62" s="44">
        <f t="shared" ref="I62" si="167">+H62*100/$C62</f>
        <v>4.7556106686168214</v>
      </c>
      <c r="J62" s="44">
        <f t="shared" si="166"/>
        <v>2374177.0299999998</v>
      </c>
      <c r="K62" s="44">
        <f t="shared" ref="K62" si="168">+J62*100/$C62</f>
        <v>2.5163108482642031</v>
      </c>
      <c r="L62" s="44">
        <f t="shared" si="166"/>
        <v>6861167.0299999993</v>
      </c>
      <c r="M62" s="44">
        <f t="shared" ref="M62" si="169">+L62*100/$C62</f>
        <v>7.2719215168810232</v>
      </c>
      <c r="N62" s="44">
        <f>SUM(N60:N61)</f>
        <v>87490332.969999999</v>
      </c>
      <c r="O62" s="44">
        <f t="shared" si="165"/>
        <v>92.728078483118978</v>
      </c>
      <c r="P62" s="44">
        <f>SUM(P60:P61)</f>
        <v>122930232.97</v>
      </c>
      <c r="Q62" s="44">
        <f t="shared" ref="Q62" si="170">+P62*100/B62</f>
        <v>94.713696724128098</v>
      </c>
      <c r="R62" s="241"/>
      <c r="S62" s="241"/>
    </row>
    <row r="63" spans="1:19" s="28" customFormat="1">
      <c r="A63" s="44" t="s">
        <v>143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241"/>
      <c r="S63" s="241"/>
    </row>
    <row r="64" spans="1:19">
      <c r="A64" s="45" t="s">
        <v>137</v>
      </c>
      <c r="B64" s="45">
        <v>8500000</v>
      </c>
      <c r="C64" s="45">
        <v>8500000</v>
      </c>
      <c r="D64" s="45"/>
      <c r="E64" s="45">
        <f t="shared" si="122"/>
        <v>0</v>
      </c>
      <c r="F64" s="45"/>
      <c r="G64" s="45">
        <f t="shared" si="122"/>
        <v>0</v>
      </c>
      <c r="H64" s="45"/>
      <c r="I64" s="45">
        <f t="shared" ref="I64" si="171">+H64*100/$C64</f>
        <v>0</v>
      </c>
      <c r="J64" s="45"/>
      <c r="K64" s="45">
        <f t="shared" ref="K64" si="172">+J64*100/$C64</f>
        <v>0</v>
      </c>
      <c r="L64" s="45">
        <f>+D64+F64+H64+J64</f>
        <v>0</v>
      </c>
      <c r="M64" s="45">
        <f t="shared" ref="M64" si="173">+L64*100/$C64</f>
        <v>0</v>
      </c>
      <c r="N64" s="45">
        <f t="shared" si="118"/>
        <v>8500000</v>
      </c>
      <c r="O64" s="45">
        <f t="shared" ref="O64" si="174">+N64*100/$C64</f>
        <v>100</v>
      </c>
      <c r="P64" s="45">
        <f t="shared" si="119"/>
        <v>8500000</v>
      </c>
      <c r="Q64" s="45">
        <f t="shared" si="120"/>
        <v>100</v>
      </c>
      <c r="R64" s="222"/>
      <c r="S64" s="222"/>
    </row>
    <row r="65" spans="1:19">
      <c r="A65" s="45" t="s">
        <v>138</v>
      </c>
      <c r="B65" s="45">
        <f>20700000-2116864</f>
        <v>18583136</v>
      </c>
      <c r="C65" s="45">
        <f>10350000-2116864</f>
        <v>8233136</v>
      </c>
      <c r="D65" s="45"/>
      <c r="E65" s="45">
        <f t="shared" si="122"/>
        <v>0</v>
      </c>
      <c r="F65" s="45"/>
      <c r="G65" s="45">
        <f t="shared" si="122"/>
        <v>0</v>
      </c>
      <c r="H65" s="45">
        <v>1262349.3</v>
      </c>
      <c r="I65" s="45">
        <f t="shared" ref="I65" si="175">+H65*100/$C65</f>
        <v>15.332545217278081</v>
      </c>
      <c r="J65" s="45">
        <v>2971952</v>
      </c>
      <c r="K65" s="45">
        <f t="shared" ref="K65" si="176">+J65*100/$C65</f>
        <v>36.097448165559271</v>
      </c>
      <c r="L65" s="45">
        <f>+D65+F65+H65+J65</f>
        <v>4234301.3</v>
      </c>
      <c r="M65" s="45">
        <f t="shared" ref="M65" si="177">+L65*100/$C65</f>
        <v>51.429993382837353</v>
      </c>
      <c r="N65" s="45">
        <f t="shared" si="118"/>
        <v>3998834.7</v>
      </c>
      <c r="O65" s="45">
        <f t="shared" ref="O65" si="178">+N65*100/$C65</f>
        <v>48.570006617162647</v>
      </c>
      <c r="P65" s="45">
        <f t="shared" si="119"/>
        <v>14348834.699999999</v>
      </c>
      <c r="Q65" s="45">
        <f t="shared" si="120"/>
        <v>77.214280194688342</v>
      </c>
      <c r="R65" s="222"/>
      <c r="S65" s="222"/>
    </row>
    <row r="66" spans="1:19" s="28" customFormat="1">
      <c r="A66" s="46" t="s">
        <v>135</v>
      </c>
      <c r="B66" s="44">
        <f>SUM(B64:B65)</f>
        <v>27083136</v>
      </c>
      <c r="C66" s="44">
        <f>SUM(C64:C65)</f>
        <v>16733136</v>
      </c>
      <c r="D66" s="44">
        <f t="shared" ref="D66:P66" si="179">SUM(D64:D65)</f>
        <v>0</v>
      </c>
      <c r="E66" s="44">
        <f t="shared" si="122"/>
        <v>0</v>
      </c>
      <c r="F66" s="44">
        <f t="shared" si="179"/>
        <v>0</v>
      </c>
      <c r="G66" s="44">
        <f t="shared" si="122"/>
        <v>0</v>
      </c>
      <c r="H66" s="44">
        <f t="shared" si="179"/>
        <v>1262349.3</v>
      </c>
      <c r="I66" s="44">
        <f t="shared" ref="I66" si="180">+H66*100/$C66</f>
        <v>7.544009084728649</v>
      </c>
      <c r="J66" s="44">
        <f t="shared" si="179"/>
        <v>2971952</v>
      </c>
      <c r="K66" s="44">
        <f t="shared" ref="K66" si="181">+J66*100/$C66</f>
        <v>17.760878773709841</v>
      </c>
      <c r="L66" s="44">
        <f t="shared" si="179"/>
        <v>4234301.3</v>
      </c>
      <c r="M66" s="44">
        <f t="shared" ref="M66" si="182">+L66*100/$C66</f>
        <v>25.304887858438491</v>
      </c>
      <c r="N66" s="44">
        <f t="shared" si="179"/>
        <v>12498834.699999999</v>
      </c>
      <c r="O66" s="44">
        <f t="shared" ref="O66" si="183">+N66*100/$C66</f>
        <v>74.695112141561509</v>
      </c>
      <c r="P66" s="44">
        <f t="shared" si="179"/>
        <v>22848834.699999999</v>
      </c>
      <c r="Q66" s="44">
        <f t="shared" si="120"/>
        <v>84.365542823401242</v>
      </c>
      <c r="R66" s="241"/>
      <c r="S66" s="241"/>
    </row>
    <row r="67" spans="1:19" s="28" customFormat="1">
      <c r="A67" s="46" t="s">
        <v>144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241"/>
      <c r="S67" s="241"/>
    </row>
    <row r="68" spans="1:19" s="28" customFormat="1">
      <c r="A68" s="44" t="s">
        <v>133</v>
      </c>
      <c r="B68" s="44">
        <f>+B47</f>
        <v>368231400</v>
      </c>
      <c r="C68" s="44">
        <f>+C47</f>
        <v>184115700</v>
      </c>
      <c r="D68" s="44">
        <f t="shared" ref="D68:P68" si="184">+D47</f>
        <v>0</v>
      </c>
      <c r="E68" s="44">
        <f t="shared" si="122"/>
        <v>0</v>
      </c>
      <c r="F68" s="44">
        <f t="shared" si="184"/>
        <v>0</v>
      </c>
      <c r="G68" s="44">
        <f t="shared" si="122"/>
        <v>0</v>
      </c>
      <c r="H68" s="44">
        <f t="shared" si="184"/>
        <v>0</v>
      </c>
      <c r="I68" s="44">
        <f t="shared" ref="I68" si="185">+H68*100/$C68</f>
        <v>0</v>
      </c>
      <c r="J68" s="44">
        <f t="shared" si="184"/>
        <v>94670302.109999999</v>
      </c>
      <c r="K68" s="44">
        <f t="shared" ref="K68" si="186">+J68*100/$C68</f>
        <v>51.418918707095592</v>
      </c>
      <c r="L68" s="44">
        <f t="shared" si="184"/>
        <v>94670302.109999999</v>
      </c>
      <c r="M68" s="44">
        <f t="shared" ref="M68" si="187">+L68*100/$C68</f>
        <v>51.418918707095592</v>
      </c>
      <c r="N68" s="44">
        <f t="shared" si="184"/>
        <v>89445397.890000001</v>
      </c>
      <c r="O68" s="44">
        <f t="shared" ref="O68" si="188">+N68*100/$C68</f>
        <v>48.581081292904408</v>
      </c>
      <c r="P68" s="44">
        <f t="shared" si="184"/>
        <v>273561097.88999999</v>
      </c>
      <c r="Q68" s="44">
        <f t="shared" si="120"/>
        <v>74.2905406464522</v>
      </c>
      <c r="R68" s="241"/>
      <c r="S68" s="241"/>
    </row>
    <row r="69" spans="1:19" s="28" customFormat="1">
      <c r="A69" s="44" t="s">
        <v>134</v>
      </c>
      <c r="B69" s="44">
        <f>+B48+B51+B56+B60</f>
        <v>274086780</v>
      </c>
      <c r="C69" s="44">
        <f>+C48+C51+C56+C60</f>
        <v>136606680</v>
      </c>
      <c r="D69" s="44">
        <f t="shared" ref="D69:P69" si="189">+D48+D51+D56+D60</f>
        <v>0</v>
      </c>
      <c r="E69" s="44">
        <f t="shared" si="122"/>
        <v>0</v>
      </c>
      <c r="F69" s="44">
        <f t="shared" si="189"/>
        <v>0</v>
      </c>
      <c r="G69" s="44">
        <f t="shared" si="122"/>
        <v>0</v>
      </c>
      <c r="H69" s="44">
        <f t="shared" si="189"/>
        <v>27722917.300000001</v>
      </c>
      <c r="I69" s="44">
        <f t="shared" ref="I69" si="190">+H69*100/$C69</f>
        <v>20.293969006493679</v>
      </c>
      <c r="J69" s="44">
        <f t="shared" si="189"/>
        <v>33280803.039999999</v>
      </c>
      <c r="K69" s="44">
        <f t="shared" ref="K69" si="191">+J69*100/$C69</f>
        <v>24.362500457517889</v>
      </c>
      <c r="L69" s="44">
        <f t="shared" si="189"/>
        <v>61003720.340000004</v>
      </c>
      <c r="M69" s="44">
        <f t="shared" ref="M69" si="192">+L69*100/$C69</f>
        <v>44.656469464011572</v>
      </c>
      <c r="N69" s="44">
        <f t="shared" si="189"/>
        <v>75602959.659999996</v>
      </c>
      <c r="O69" s="44">
        <f t="shared" ref="O69" si="193">+N69*100/$C69</f>
        <v>55.343530535988428</v>
      </c>
      <c r="P69" s="44">
        <f t="shared" si="189"/>
        <v>213083059.66</v>
      </c>
      <c r="Q69" s="44">
        <f t="shared" si="120"/>
        <v>77.742917648198869</v>
      </c>
      <c r="R69" s="241"/>
      <c r="S69" s="241"/>
    </row>
    <row r="70" spans="1:19" s="28" customFormat="1">
      <c r="A70" s="44" t="s">
        <v>137</v>
      </c>
      <c r="B70" s="44">
        <f>+B52+B57+B61+B64</f>
        <v>230145300</v>
      </c>
      <c r="C70" s="44">
        <f>+C52+C57+C61+C64</f>
        <v>230145300</v>
      </c>
      <c r="D70" s="44">
        <f t="shared" ref="D70:P70" si="194">+D52+D57+D61+D64</f>
        <v>0</v>
      </c>
      <c r="E70" s="44">
        <f t="shared" si="122"/>
        <v>0</v>
      </c>
      <c r="F70" s="44">
        <f t="shared" si="194"/>
        <v>0</v>
      </c>
      <c r="G70" s="44">
        <f t="shared" si="122"/>
        <v>0</v>
      </c>
      <c r="H70" s="44">
        <f t="shared" si="194"/>
        <v>2321133.4900000002</v>
      </c>
      <c r="I70" s="44">
        <f t="shared" ref="I70" si="195">+H70*100/$C70</f>
        <v>1.0085513325712063</v>
      </c>
      <c r="J70" s="44">
        <f t="shared" si="194"/>
        <v>1125127.3999999999</v>
      </c>
      <c r="K70" s="44">
        <f t="shared" ref="K70" si="196">+J70*100/$C70</f>
        <v>0.48887698336659485</v>
      </c>
      <c r="L70" s="44">
        <f t="shared" si="194"/>
        <v>3446260.89</v>
      </c>
      <c r="M70" s="44">
        <f t="shared" ref="M70" si="197">+L70*100/$C70</f>
        <v>1.497428315937801</v>
      </c>
      <c r="N70" s="44">
        <f t="shared" si="194"/>
        <v>226699039.11000001</v>
      </c>
      <c r="O70" s="44">
        <f t="shared" ref="O70" si="198">+N70*100/$C70</f>
        <v>98.502571684062204</v>
      </c>
      <c r="P70" s="44">
        <f t="shared" si="194"/>
        <v>226699039.11000001</v>
      </c>
      <c r="Q70" s="44">
        <f t="shared" si="120"/>
        <v>98.502571684062204</v>
      </c>
      <c r="R70" s="241"/>
      <c r="S70" s="241"/>
    </row>
    <row r="71" spans="1:19" s="28" customFormat="1">
      <c r="A71" s="44" t="s">
        <v>138</v>
      </c>
      <c r="B71" s="44">
        <f>+B53+B65</f>
        <v>22598136</v>
      </c>
      <c r="C71" s="44">
        <f>+C53+C65</f>
        <v>10248136</v>
      </c>
      <c r="D71" s="44">
        <f t="shared" ref="D71:P71" si="199">+D53+D65</f>
        <v>0</v>
      </c>
      <c r="E71" s="44">
        <f t="shared" si="122"/>
        <v>0</v>
      </c>
      <c r="F71" s="44">
        <f t="shared" si="199"/>
        <v>0</v>
      </c>
      <c r="G71" s="44">
        <f t="shared" si="122"/>
        <v>0</v>
      </c>
      <c r="H71" s="44">
        <f t="shared" si="199"/>
        <v>1262349.3</v>
      </c>
      <c r="I71" s="44">
        <f t="shared" ref="I71" si="200">+H71*100/$C71</f>
        <v>12.317842971638941</v>
      </c>
      <c r="J71" s="44">
        <f t="shared" si="199"/>
        <v>3214413.5</v>
      </c>
      <c r="K71" s="44">
        <f t="shared" ref="K71" si="201">+J71*100/$C71</f>
        <v>31.365835699292045</v>
      </c>
      <c r="L71" s="44">
        <f t="shared" si="199"/>
        <v>4476762.8</v>
      </c>
      <c r="M71" s="44">
        <f t="shared" ref="M71" si="202">+L71*100/$C71</f>
        <v>43.683678670930988</v>
      </c>
      <c r="N71" s="44">
        <f t="shared" si="199"/>
        <v>5771373.2000000002</v>
      </c>
      <c r="O71" s="44">
        <f t="shared" ref="O71" si="203">+N71*100/$C71</f>
        <v>56.316321329069012</v>
      </c>
      <c r="P71" s="44">
        <f t="shared" si="199"/>
        <v>18121373.199999999</v>
      </c>
      <c r="Q71" s="44">
        <f t="shared" si="120"/>
        <v>80.1896811312225</v>
      </c>
      <c r="R71" s="241"/>
      <c r="S71" s="241"/>
    </row>
    <row r="72" spans="1:19" s="28" customFormat="1">
      <c r="A72" s="46" t="s">
        <v>144</v>
      </c>
      <c r="B72" s="44">
        <f>SUM(B68:B71)</f>
        <v>895061616</v>
      </c>
      <c r="C72" s="44">
        <f>SUM(C68:C71)</f>
        <v>561115816</v>
      </c>
      <c r="D72" s="44">
        <f t="shared" ref="D72:P72" si="204">SUM(D68:D71)</f>
        <v>0</v>
      </c>
      <c r="E72" s="44">
        <f t="shared" si="122"/>
        <v>0</v>
      </c>
      <c r="F72" s="44">
        <f t="shared" si="204"/>
        <v>0</v>
      </c>
      <c r="G72" s="44">
        <f t="shared" si="122"/>
        <v>0</v>
      </c>
      <c r="H72" s="44">
        <f t="shared" si="204"/>
        <v>31306400.09</v>
      </c>
      <c r="I72" s="44">
        <f t="shared" ref="I72" si="205">+H72*100/$C72</f>
        <v>5.5793116496292097</v>
      </c>
      <c r="J72" s="44">
        <f t="shared" si="204"/>
        <v>132290646.05000001</v>
      </c>
      <c r="K72" s="44">
        <f t="shared" ref="K72" si="206">+J72*100/$C72</f>
        <v>23.57635309463457</v>
      </c>
      <c r="L72" s="44">
        <f t="shared" si="204"/>
        <v>163597046.13999999</v>
      </c>
      <c r="M72" s="44">
        <f t="shared" ref="M72" si="207">+L72*100/$C72</f>
        <v>29.155664744263774</v>
      </c>
      <c r="N72" s="44">
        <f t="shared" si="204"/>
        <v>397518769.86000001</v>
      </c>
      <c r="O72" s="44">
        <f t="shared" ref="O72" si="208">+N72*100/$C72</f>
        <v>70.844335255736226</v>
      </c>
      <c r="P72" s="44">
        <f t="shared" si="204"/>
        <v>731464569.86000001</v>
      </c>
      <c r="Q72" s="44">
        <f t="shared" si="120"/>
        <v>81.722258756764745</v>
      </c>
      <c r="R72" s="241"/>
      <c r="S72" s="241"/>
    </row>
    <row r="73" spans="1:19">
      <c r="C73" s="222">
        <f>561115816-C72</f>
        <v>0</v>
      </c>
      <c r="H73" s="222"/>
      <c r="J73" s="222"/>
      <c r="N73" s="222"/>
    </row>
    <row r="74" spans="1:19">
      <c r="C74" s="222"/>
      <c r="H74" s="222"/>
      <c r="J74" s="222"/>
      <c r="N74" s="222"/>
    </row>
    <row r="75" spans="1:19">
      <c r="C75" s="222"/>
      <c r="H75" s="222"/>
      <c r="J75" s="222"/>
      <c r="N75" s="222"/>
    </row>
    <row r="76" spans="1:19">
      <c r="C76" s="222"/>
      <c r="H76" s="222"/>
      <c r="J76" s="222"/>
      <c r="N76" s="222"/>
    </row>
    <row r="77" spans="1:19">
      <c r="C77" s="222"/>
      <c r="H77" s="222"/>
      <c r="J77" s="222"/>
      <c r="N77" s="222"/>
    </row>
    <row r="78" spans="1:19">
      <c r="C78" s="222"/>
      <c r="H78" s="222"/>
      <c r="J78" s="222"/>
      <c r="N78" s="222"/>
    </row>
    <row r="79" spans="1:19">
      <c r="C79" s="222"/>
      <c r="H79" s="222"/>
      <c r="J79" s="222"/>
      <c r="N79" s="222"/>
    </row>
    <row r="80" spans="1:19">
      <c r="C80" s="222"/>
      <c r="H80" s="222"/>
      <c r="J80" s="222"/>
      <c r="N80" s="222"/>
    </row>
    <row r="81" spans="1:19">
      <c r="C81" s="222"/>
      <c r="H81" s="222"/>
      <c r="J81" s="222"/>
      <c r="N81" s="222"/>
    </row>
    <row r="82" spans="1:19">
      <c r="C82" s="222"/>
      <c r="H82" s="222"/>
      <c r="J82" s="222"/>
      <c r="N82" s="222"/>
    </row>
    <row r="83" spans="1:19">
      <c r="C83" s="222"/>
      <c r="H83" s="222"/>
      <c r="J83" s="222"/>
      <c r="N83" s="222"/>
    </row>
    <row r="84" spans="1:19" s="28" customFormat="1">
      <c r="A84" s="47" t="s">
        <v>431</v>
      </c>
      <c r="R84" s="241"/>
      <c r="S84" s="241"/>
    </row>
    <row r="85" spans="1:19" s="28" customFormat="1" ht="21" customHeight="1">
      <c r="A85" s="1023" t="s">
        <v>130</v>
      </c>
      <c r="B85" s="1025" t="s">
        <v>118</v>
      </c>
      <c r="C85" s="1025" t="s">
        <v>131</v>
      </c>
      <c r="D85" s="1027" t="s">
        <v>5</v>
      </c>
      <c r="E85" s="1027"/>
      <c r="F85" s="1028" t="s">
        <v>6</v>
      </c>
      <c r="G85" s="1028"/>
      <c r="H85" s="1017" t="s">
        <v>7</v>
      </c>
      <c r="I85" s="1017"/>
      <c r="J85" s="1018" t="s">
        <v>127</v>
      </c>
      <c r="K85" s="1018"/>
      <c r="L85" s="1019" t="s">
        <v>121</v>
      </c>
      <c r="M85" s="1019"/>
      <c r="N85" s="1020" t="s">
        <v>128</v>
      </c>
      <c r="O85" s="1020"/>
      <c r="P85" s="1020" t="s">
        <v>129</v>
      </c>
      <c r="Q85" s="1020"/>
      <c r="R85" s="241"/>
      <c r="S85" s="241"/>
    </row>
    <row r="86" spans="1:19" s="28" customFormat="1">
      <c r="A86" s="1024"/>
      <c r="B86" s="1026"/>
      <c r="C86" s="1026"/>
      <c r="D86" s="38" t="s">
        <v>119</v>
      </c>
      <c r="E86" s="38" t="s">
        <v>124</v>
      </c>
      <c r="F86" s="38" t="s">
        <v>119</v>
      </c>
      <c r="G86" s="38" t="s">
        <v>124</v>
      </c>
      <c r="H86" s="38" t="s">
        <v>119</v>
      </c>
      <c r="I86" s="38" t="s">
        <v>124</v>
      </c>
      <c r="J86" s="38" t="s">
        <v>119</v>
      </c>
      <c r="K86" s="38" t="s">
        <v>124</v>
      </c>
      <c r="L86" s="38" t="s">
        <v>119</v>
      </c>
      <c r="M86" s="38" t="s">
        <v>124</v>
      </c>
      <c r="N86" s="38" t="s">
        <v>119</v>
      </c>
      <c r="O86" s="38" t="s">
        <v>124</v>
      </c>
      <c r="P86" s="38" t="s">
        <v>119</v>
      </c>
      <c r="Q86" s="38" t="s">
        <v>124</v>
      </c>
      <c r="R86" s="241"/>
      <c r="S86" s="241"/>
    </row>
    <row r="87" spans="1:19" s="28" customFormat="1">
      <c r="A87" s="44" t="s">
        <v>136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241"/>
      <c r="S87" s="241"/>
    </row>
    <row r="88" spans="1:19">
      <c r="A88" s="45" t="s">
        <v>134</v>
      </c>
      <c r="B88" s="45">
        <v>858220</v>
      </c>
      <c r="C88" s="45">
        <v>858220</v>
      </c>
      <c r="D88" s="45"/>
      <c r="E88" s="45">
        <f>+D88*100/$C88</f>
        <v>0</v>
      </c>
      <c r="F88" s="45"/>
      <c r="G88" s="45">
        <f>+F88*100/$C88</f>
        <v>0</v>
      </c>
      <c r="H88" s="45">
        <v>7800</v>
      </c>
      <c r="I88" s="45">
        <f>+H88*100/$C88</f>
        <v>0.90885786861177786</v>
      </c>
      <c r="J88" s="45">
        <v>4243.59</v>
      </c>
      <c r="K88" s="45">
        <f>+J88*100/$C88</f>
        <v>0.49446412341823776</v>
      </c>
      <c r="L88" s="45">
        <f>+D88+F88+H88+J88</f>
        <v>12043.59</v>
      </c>
      <c r="M88" s="45">
        <f>+L88*100/$C88</f>
        <v>1.4033219920300155</v>
      </c>
      <c r="N88" s="45">
        <f t="shared" ref="N88" si="209">+C88-L88</f>
        <v>846176.41</v>
      </c>
      <c r="O88" s="45">
        <f>+N88*100/$C88</f>
        <v>98.596678007969984</v>
      </c>
      <c r="P88" s="45">
        <f t="shared" ref="P88" si="210">+B88-L88</f>
        <v>846176.41</v>
      </c>
      <c r="Q88" s="45">
        <f t="shared" ref="Q88" si="211">+P88*100/B88</f>
        <v>98.596678007969984</v>
      </c>
      <c r="R88" s="222"/>
      <c r="S88" s="222"/>
    </row>
    <row r="89" spans="1:19" s="28" customFormat="1">
      <c r="A89" s="44" t="s">
        <v>143</v>
      </c>
      <c r="B89" s="240"/>
      <c r="C89" s="240"/>
      <c r="D89" s="240"/>
      <c r="E89" s="240"/>
      <c r="F89" s="24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1"/>
      <c r="S89" s="241"/>
    </row>
    <row r="90" spans="1:19">
      <c r="A90" s="45" t="s">
        <v>138</v>
      </c>
      <c r="B90" s="45">
        <v>2116864</v>
      </c>
      <c r="C90" s="45">
        <v>2116864</v>
      </c>
      <c r="D90" s="45"/>
      <c r="E90" s="45">
        <f>+D90*100/$C90</f>
        <v>0</v>
      </c>
      <c r="F90" s="45"/>
      <c r="G90" s="45">
        <f>+F90*100/$C90</f>
        <v>0</v>
      </c>
      <c r="H90" s="45"/>
      <c r="I90" s="45">
        <f>+H90*100/$C90</f>
        <v>0</v>
      </c>
      <c r="J90" s="45">
        <v>361169.73</v>
      </c>
      <c r="K90" s="45">
        <f>+J90*100/$C90</f>
        <v>17.061546230650624</v>
      </c>
      <c r="L90" s="45">
        <f>+D90+F90+H90+J90</f>
        <v>361169.73</v>
      </c>
      <c r="M90" s="45">
        <f>+L90*100/$C90</f>
        <v>17.061546230650624</v>
      </c>
      <c r="N90" s="45">
        <f>+C90-L90</f>
        <v>1755694.27</v>
      </c>
      <c r="O90" s="45">
        <f>+N90*100/$C90</f>
        <v>82.93845376934938</v>
      </c>
      <c r="P90" s="45">
        <f>+B90-L90</f>
        <v>1755694.27</v>
      </c>
      <c r="Q90" s="45">
        <f>+P90*100/B90</f>
        <v>82.93845376934938</v>
      </c>
      <c r="R90" s="222"/>
      <c r="S90" s="222"/>
    </row>
    <row r="91" spans="1:19" s="28" customFormat="1">
      <c r="A91" s="46" t="s">
        <v>135</v>
      </c>
      <c r="B91" s="44">
        <f>+B88+B90</f>
        <v>2975084</v>
      </c>
      <c r="C91" s="44">
        <f t="shared" ref="C91:P91" si="212">+C88+C90</f>
        <v>2975084</v>
      </c>
      <c r="D91" s="44">
        <f t="shared" si="212"/>
        <v>0</v>
      </c>
      <c r="E91" s="44">
        <f t="shared" ref="E91" si="213">+D91*100/$C91</f>
        <v>0</v>
      </c>
      <c r="F91" s="44">
        <f t="shared" si="212"/>
        <v>0</v>
      </c>
      <c r="G91" s="44">
        <f t="shared" ref="G91" si="214">+F91*100/$C91</f>
        <v>0</v>
      </c>
      <c r="H91" s="44">
        <f t="shared" si="212"/>
        <v>7800</v>
      </c>
      <c r="I91" s="44">
        <f t="shared" ref="I91" si="215">+H91*100/$C91</f>
        <v>0.26217747129156688</v>
      </c>
      <c r="J91" s="44">
        <f t="shared" si="212"/>
        <v>365413.32</v>
      </c>
      <c r="K91" s="44">
        <f t="shared" ref="K91" si="216">+J91*100/$C91</f>
        <v>12.282453873571301</v>
      </c>
      <c r="L91" s="44">
        <f t="shared" si="212"/>
        <v>373213.32</v>
      </c>
      <c r="M91" s="44">
        <f t="shared" ref="M91" si="217">+L91*100/$C91</f>
        <v>12.544631344862868</v>
      </c>
      <c r="N91" s="44">
        <f t="shared" si="212"/>
        <v>2601870.6800000002</v>
      </c>
      <c r="O91" s="44">
        <f t="shared" ref="O91" si="218">+N91*100/$C91</f>
        <v>87.455368655137136</v>
      </c>
      <c r="P91" s="44">
        <f t="shared" si="212"/>
        <v>2601870.6800000002</v>
      </c>
      <c r="Q91" s="44">
        <f t="shared" ref="Q91" si="219">+P91*100/B91</f>
        <v>87.455368655137136</v>
      </c>
      <c r="R91" s="241"/>
      <c r="S91" s="241"/>
    </row>
    <row r="92" spans="1:19" ht="117" customHeight="1">
      <c r="A92" s="1029" t="s">
        <v>446</v>
      </c>
      <c r="B92" s="1029"/>
      <c r="C92" s="1029"/>
      <c r="D92" s="1029"/>
      <c r="E92" s="1029"/>
      <c r="F92" s="1029"/>
      <c r="G92" s="1029"/>
      <c r="H92" s="1029"/>
      <c r="I92" s="1029"/>
      <c r="J92" s="1029"/>
      <c r="K92" s="1029"/>
      <c r="L92" s="1029"/>
      <c r="M92" s="1029"/>
      <c r="N92" s="1029"/>
      <c r="O92" s="1029"/>
      <c r="P92" s="1029"/>
      <c r="Q92" s="1029"/>
    </row>
  </sheetData>
  <mergeCells count="37">
    <mergeCell ref="A92:Q92"/>
    <mergeCell ref="H44:I44"/>
    <mergeCell ref="J44:K44"/>
    <mergeCell ref="L44:M44"/>
    <mergeCell ref="N44:O44"/>
    <mergeCell ref="P44:Q44"/>
    <mergeCell ref="A44:A45"/>
    <mergeCell ref="B44:B45"/>
    <mergeCell ref="C44:C45"/>
    <mergeCell ref="D44:E44"/>
    <mergeCell ref="F44:G44"/>
    <mergeCell ref="A85:A86"/>
    <mergeCell ref="B85:B86"/>
    <mergeCell ref="C85:C86"/>
    <mergeCell ref="D85:E85"/>
    <mergeCell ref="F85:G85"/>
    <mergeCell ref="H8:I8"/>
    <mergeCell ref="J8:K8"/>
    <mergeCell ref="L8:M8"/>
    <mergeCell ref="N8:O8"/>
    <mergeCell ref="P8:Q8"/>
    <mergeCell ref="A8:A9"/>
    <mergeCell ref="B8:B9"/>
    <mergeCell ref="C8:C9"/>
    <mergeCell ref="D8:E8"/>
    <mergeCell ref="F8:G8"/>
    <mergeCell ref="A6:Q6"/>
    <mergeCell ref="A1:Q1"/>
    <mergeCell ref="A2:Q2"/>
    <mergeCell ref="A3:Q3"/>
    <mergeCell ref="A4:Q4"/>
    <mergeCell ref="A5:Q5"/>
    <mergeCell ref="H85:I85"/>
    <mergeCell ref="J85:K85"/>
    <mergeCell ref="L85:M85"/>
    <mergeCell ref="N85:O85"/>
    <mergeCell ref="P85:Q85"/>
  </mergeCells>
  <pageMargins left="0.19685039370078741" right="0.15748031496062992" top="0.15748031496062992" bottom="0.23622047244094491" header="0.15748031496062992" footer="0.15748031496062992"/>
  <pageSetup paperSize="9" scale="65" orientation="landscape" verticalDpi="0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S83"/>
  <sheetViews>
    <sheetView topLeftCell="D1" workbookViewId="0">
      <selection activeCell="P30" sqref="P30"/>
    </sheetView>
  </sheetViews>
  <sheetFormatPr defaultRowHeight="21"/>
  <cols>
    <col min="1" max="1" width="17.25" style="1" customWidth="1"/>
    <col min="2" max="2" width="16.125" style="1" customWidth="1"/>
    <col min="3" max="3" width="15.75" style="1" customWidth="1"/>
    <col min="4" max="4" width="14.5" style="1" customWidth="1"/>
    <col min="5" max="5" width="9" style="1"/>
    <col min="6" max="6" width="12.875" style="1" customWidth="1"/>
    <col min="7" max="7" width="9" style="1"/>
    <col min="8" max="8" width="13.375" style="1" customWidth="1"/>
    <col min="9" max="9" width="9" style="1"/>
    <col min="10" max="10" width="15.375" style="1" customWidth="1"/>
    <col min="11" max="11" width="9" style="1"/>
    <col min="12" max="12" width="14.75" style="1" customWidth="1"/>
    <col min="13" max="13" width="9" style="1"/>
    <col min="14" max="14" width="15.625" style="1" customWidth="1"/>
    <col min="15" max="15" width="9" style="1"/>
    <col min="16" max="16" width="16.125" style="1" customWidth="1"/>
    <col min="17" max="16384" width="9" style="1"/>
  </cols>
  <sheetData>
    <row r="1" spans="1:17">
      <c r="A1" s="1009" t="s">
        <v>105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  <c r="Q1" s="1009"/>
    </row>
    <row r="2" spans="1:17">
      <c r="A2" s="1010" t="s">
        <v>158</v>
      </c>
      <c r="B2" s="1010"/>
      <c r="C2" s="1010"/>
      <c r="D2" s="1010"/>
      <c r="E2" s="1010"/>
      <c r="F2" s="1010"/>
      <c r="G2" s="1010"/>
      <c r="H2" s="1010"/>
      <c r="I2" s="1010"/>
      <c r="J2" s="1010"/>
      <c r="K2" s="1010"/>
      <c r="L2" s="1010"/>
      <c r="M2" s="1010"/>
      <c r="N2" s="1010"/>
      <c r="O2" s="1010"/>
      <c r="P2" s="1010"/>
      <c r="Q2" s="1010"/>
    </row>
    <row r="3" spans="1:17">
      <c r="A3" s="1010" t="str">
        <f>+'ยอดเบิกตาม GFMIS'!A3:Q3</f>
        <v>ตั้งแต่วันที่ 1 ตุลาคม 2565 - 31 ธันวาคม 2565</v>
      </c>
      <c r="B3" s="1010"/>
      <c r="C3" s="1010"/>
      <c r="D3" s="1010"/>
      <c r="E3" s="1010"/>
      <c r="F3" s="1010"/>
      <c r="G3" s="1010"/>
      <c r="H3" s="1010"/>
      <c r="I3" s="1010"/>
      <c r="J3" s="1010"/>
      <c r="K3" s="1010"/>
      <c r="L3" s="1010"/>
      <c r="M3" s="1010"/>
      <c r="N3" s="1010"/>
      <c r="O3" s="1010"/>
      <c r="P3" s="1010"/>
      <c r="Q3" s="1010"/>
    </row>
    <row r="4" spans="1:17">
      <c r="A4" s="1010" t="str">
        <f>+'ยอดเบิกตาม GFMIS'!A4:Q4</f>
        <v xml:space="preserve"> เป้าหมาย อย. สิ้นสุด 31 ธ.ค.65  (ยอดเบิกจ่ายในภาพรวมรับจัดสรรงวดที่ 1 ร้อยละ 37.50 , งบลงทุน (เฉพาะรายการครุภัณฑ์จัดซื้อ) ร้อยละ 50)</v>
      </c>
      <c r="B4" s="1010"/>
      <c r="C4" s="1010"/>
      <c r="D4" s="1010"/>
      <c r="E4" s="1010"/>
      <c r="F4" s="1010"/>
      <c r="G4" s="1010"/>
      <c r="H4" s="1010"/>
      <c r="I4" s="1010"/>
      <c r="J4" s="1010"/>
      <c r="K4" s="1010"/>
      <c r="L4" s="1010"/>
      <c r="M4" s="1010"/>
      <c r="N4" s="1010"/>
      <c r="O4" s="1010"/>
      <c r="P4" s="1010"/>
      <c r="Q4" s="1010"/>
    </row>
    <row r="5" spans="1:17">
      <c r="A5" s="1010" t="str">
        <f>+'ยอดเบิกตาม GFMIS'!A5:Q5</f>
        <v xml:space="preserve"> เป้าหมายตามมติ ครม สิ้นสุด 31 ธ.ค.65  (ยอดเบิกจ่ายในภาพรวม ร้อยละ 32 , งบลงทุน  ร้อยละ 19)</v>
      </c>
      <c r="B5" s="1010"/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1010"/>
      <c r="N5" s="1010"/>
      <c r="O5" s="1010"/>
      <c r="P5" s="1010"/>
      <c r="Q5" s="1010"/>
    </row>
    <row r="6" spans="1:17">
      <c r="A6" s="1010" t="str">
        <f>+'ยอดเบิกตาม GFMIS'!A6:Q6</f>
        <v xml:space="preserve"> เป้าหมายตามมติ ครม สิ้นสุด 31 ธ.ค.65  (ยอดใช้จ่ายในภาพรวม ร้อยละ 34.08 , งบลงทุน  ร้อยละ 28.96)</v>
      </c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</row>
    <row r="7" spans="1:17">
      <c r="A7" s="35" t="s">
        <v>145</v>
      </c>
    </row>
    <row r="8" spans="1:17" ht="21" customHeight="1">
      <c r="A8" s="1023" t="s">
        <v>130</v>
      </c>
      <c r="B8" s="1025" t="s">
        <v>118</v>
      </c>
      <c r="C8" s="1025" t="s">
        <v>131</v>
      </c>
      <c r="D8" s="1030" t="s">
        <v>5</v>
      </c>
      <c r="E8" s="1030"/>
      <c r="F8" s="1030" t="s">
        <v>6</v>
      </c>
      <c r="G8" s="1030"/>
      <c r="H8" s="1030" t="s">
        <v>7</v>
      </c>
      <c r="I8" s="1030"/>
      <c r="J8" s="1030" t="s">
        <v>127</v>
      </c>
      <c r="K8" s="1030"/>
      <c r="L8" s="1014" t="s">
        <v>121</v>
      </c>
      <c r="M8" s="1014"/>
      <c r="N8" s="1008" t="s">
        <v>128</v>
      </c>
      <c r="O8" s="1008"/>
      <c r="P8" s="1008" t="s">
        <v>129</v>
      </c>
      <c r="Q8" s="1008"/>
    </row>
    <row r="9" spans="1:17">
      <c r="A9" s="1024"/>
      <c r="B9" s="1026"/>
      <c r="C9" s="1026"/>
      <c r="D9" s="38" t="s">
        <v>119</v>
      </c>
      <c r="E9" s="38" t="s">
        <v>124</v>
      </c>
      <c r="F9" s="38" t="s">
        <v>119</v>
      </c>
      <c r="G9" s="38" t="s">
        <v>124</v>
      </c>
      <c r="H9" s="38" t="s">
        <v>119</v>
      </c>
      <c r="I9" s="38" t="s">
        <v>124</v>
      </c>
      <c r="J9" s="38" t="s">
        <v>119</v>
      </c>
      <c r="K9" s="38" t="s">
        <v>124</v>
      </c>
      <c r="L9" s="38" t="s">
        <v>119</v>
      </c>
      <c r="M9" s="38" t="s">
        <v>124</v>
      </c>
      <c r="N9" s="38" t="s">
        <v>119</v>
      </c>
      <c r="O9" s="38" t="s">
        <v>124</v>
      </c>
      <c r="P9" s="38" t="s">
        <v>119</v>
      </c>
      <c r="Q9" s="38" t="s">
        <v>124</v>
      </c>
    </row>
    <row r="10" spans="1:17">
      <c r="A10" s="44" t="s">
        <v>132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>
      <c r="A11" s="45" t="s">
        <v>133</v>
      </c>
      <c r="B11" s="48">
        <f t="shared" ref="B11:D12" si="0">+B47</f>
        <v>368231400</v>
      </c>
      <c r="C11" s="48">
        <f t="shared" si="0"/>
        <v>184115700</v>
      </c>
      <c r="D11" s="48">
        <f t="shared" si="0"/>
        <v>0</v>
      </c>
      <c r="E11" s="48">
        <f>+D11*100/$C11</f>
        <v>0</v>
      </c>
      <c r="F11" s="48">
        <f>+F47</f>
        <v>0</v>
      </c>
      <c r="G11" s="48">
        <f>+F11*100/$C11</f>
        <v>0</v>
      </c>
      <c r="H11" s="48">
        <f>+H47</f>
        <v>0</v>
      </c>
      <c r="I11" s="48">
        <f>+H11*100/$C11</f>
        <v>0</v>
      </c>
      <c r="J11" s="48">
        <f>+J47</f>
        <v>94670302.109999999</v>
      </c>
      <c r="K11" s="48">
        <f>+J11*100/$C11</f>
        <v>51.418918707095592</v>
      </c>
      <c r="L11" s="48">
        <f>+L47</f>
        <v>94670302.109999999</v>
      </c>
      <c r="M11" s="48">
        <f>+L11*100/$C11</f>
        <v>51.418918707095592</v>
      </c>
      <c r="N11" s="48">
        <f>+N47</f>
        <v>89445397.890000001</v>
      </c>
      <c r="O11" s="48">
        <f>+N11*100/$C11</f>
        <v>48.581081292904408</v>
      </c>
      <c r="P11" s="48">
        <f>+P47</f>
        <v>273561097.88999999</v>
      </c>
      <c r="Q11" s="48">
        <f>+P11*100/B11</f>
        <v>74.2905406464522</v>
      </c>
    </row>
    <row r="12" spans="1:17">
      <c r="A12" s="45" t="s">
        <v>134</v>
      </c>
      <c r="B12" s="48">
        <f t="shared" si="0"/>
        <v>24429600</v>
      </c>
      <c r="C12" s="48">
        <f t="shared" si="0"/>
        <v>12214800</v>
      </c>
      <c r="D12" s="48">
        <f t="shared" si="0"/>
        <v>0</v>
      </c>
      <c r="E12" s="48">
        <f t="shared" ref="E12:G27" si="1">+D12*100/$C12</f>
        <v>0</v>
      </c>
      <c r="F12" s="48">
        <f>+F48</f>
        <v>28800</v>
      </c>
      <c r="G12" s="48">
        <f t="shared" si="1"/>
        <v>0.23577954612437371</v>
      </c>
      <c r="H12" s="48">
        <f>+H48</f>
        <v>0</v>
      </c>
      <c r="I12" s="48">
        <f t="shared" ref="I12:I13" si="2">+H12*100/$C12</f>
        <v>0</v>
      </c>
      <c r="J12" s="48">
        <f>+J48</f>
        <v>5386723.2199999997</v>
      </c>
      <c r="K12" s="48">
        <f t="shared" ref="K12:K13" si="3">+J12*100/$C12</f>
        <v>44.099970691292533</v>
      </c>
      <c r="L12" s="48">
        <f>+L48</f>
        <v>5415523.2199999997</v>
      </c>
      <c r="M12" s="48">
        <f t="shared" ref="M12:M13" si="4">+L12*100/$C12</f>
        <v>44.335750237416903</v>
      </c>
      <c r="N12" s="48">
        <f>+N48</f>
        <v>6799276.7800000003</v>
      </c>
      <c r="O12" s="48">
        <f t="shared" ref="O12:O13" si="5">+N12*100/$C12</f>
        <v>55.664249762583097</v>
      </c>
      <c r="P12" s="48">
        <f>+P48</f>
        <v>19014076.780000001</v>
      </c>
      <c r="Q12" s="48">
        <f t="shared" ref="Q12:Q41" si="6">+P12*100/B12</f>
        <v>77.832124881291548</v>
      </c>
    </row>
    <row r="13" spans="1:17" s="37" customFormat="1">
      <c r="A13" s="46" t="s">
        <v>135</v>
      </c>
      <c r="B13" s="49">
        <f>SUM(B11:B12)</f>
        <v>392661000</v>
      </c>
      <c r="C13" s="49">
        <f t="shared" ref="C13:P13" si="7">SUM(C11:C12)</f>
        <v>196330500</v>
      </c>
      <c r="D13" s="49">
        <f t="shared" si="7"/>
        <v>0</v>
      </c>
      <c r="E13" s="49">
        <f t="shared" si="1"/>
        <v>0</v>
      </c>
      <c r="F13" s="49">
        <f t="shared" si="7"/>
        <v>28800</v>
      </c>
      <c r="G13" s="49">
        <f t="shared" si="1"/>
        <v>1.4669142084393409E-2</v>
      </c>
      <c r="H13" s="49">
        <f t="shared" si="7"/>
        <v>0</v>
      </c>
      <c r="I13" s="49">
        <f t="shared" si="2"/>
        <v>0</v>
      </c>
      <c r="J13" s="49">
        <f t="shared" si="7"/>
        <v>100057025.33</v>
      </c>
      <c r="K13" s="49">
        <f t="shared" si="3"/>
        <v>50.963566705122233</v>
      </c>
      <c r="L13" s="49">
        <f t="shared" si="7"/>
        <v>100085825.33</v>
      </c>
      <c r="M13" s="49">
        <f t="shared" si="4"/>
        <v>50.978235847206626</v>
      </c>
      <c r="N13" s="49">
        <f t="shared" si="7"/>
        <v>96244674.670000002</v>
      </c>
      <c r="O13" s="49">
        <f t="shared" si="5"/>
        <v>49.021764152793374</v>
      </c>
      <c r="P13" s="49">
        <f t="shared" si="7"/>
        <v>292575174.66999996</v>
      </c>
      <c r="Q13" s="49">
        <f t="shared" si="6"/>
        <v>74.510882076396683</v>
      </c>
    </row>
    <row r="14" spans="1:17">
      <c r="A14" s="44" t="s">
        <v>136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>
      <c r="A15" s="45" t="s">
        <v>134</v>
      </c>
      <c r="B15" s="48">
        <f>+B51+B78</f>
        <v>164566300</v>
      </c>
      <c r="C15" s="48">
        <f t="shared" ref="C15:P15" si="8">+C51+C78</f>
        <v>82275600</v>
      </c>
      <c r="D15" s="48">
        <f t="shared" si="8"/>
        <v>302249</v>
      </c>
      <c r="E15" s="48">
        <f t="shared" si="1"/>
        <v>0.36736164792477966</v>
      </c>
      <c r="F15" s="48">
        <f t="shared" si="8"/>
        <v>1024855.53</v>
      </c>
      <c r="G15" s="48">
        <f t="shared" si="1"/>
        <v>1.2456372606216182</v>
      </c>
      <c r="H15" s="48">
        <f t="shared" si="8"/>
        <v>944810.85000000009</v>
      </c>
      <c r="I15" s="48">
        <f t="shared" ref="I15:I18" si="9">+H15*100/$C15</f>
        <v>1.1483487814127156</v>
      </c>
      <c r="J15" s="48">
        <f t="shared" si="8"/>
        <v>24314214.830000002</v>
      </c>
      <c r="K15" s="48">
        <f t="shared" ref="K15:K18" si="10">+J15*100/$C15</f>
        <v>29.552157419696726</v>
      </c>
      <c r="L15" s="48">
        <f t="shared" si="8"/>
        <v>26586130.210000001</v>
      </c>
      <c r="M15" s="48">
        <f t="shared" ref="M15:M18" si="11">+L15*100/$C15</f>
        <v>32.313505109655843</v>
      </c>
      <c r="N15" s="48">
        <f t="shared" si="8"/>
        <v>55689469.789999992</v>
      </c>
      <c r="O15" s="48">
        <f t="shared" ref="O15:O18" si="12">+N15*100/$C15</f>
        <v>67.68649489034415</v>
      </c>
      <c r="P15" s="48">
        <f t="shared" si="8"/>
        <v>137980169.78999999</v>
      </c>
      <c r="Q15" s="48">
        <f t="shared" si="6"/>
        <v>83.844729929517769</v>
      </c>
    </row>
    <row r="16" spans="1:17">
      <c r="A16" s="45" t="s">
        <v>137</v>
      </c>
      <c r="B16" s="48">
        <f t="shared" ref="B16:D17" si="13">+B52</f>
        <v>160358300</v>
      </c>
      <c r="C16" s="48">
        <f t="shared" si="13"/>
        <v>160358300</v>
      </c>
      <c r="D16" s="48">
        <f t="shared" si="13"/>
        <v>337500</v>
      </c>
      <c r="E16" s="48">
        <f t="shared" si="1"/>
        <v>0.2104661872818557</v>
      </c>
      <c r="F16" s="48">
        <f>+F52</f>
        <v>0</v>
      </c>
      <c r="G16" s="48">
        <f t="shared" si="1"/>
        <v>0</v>
      </c>
      <c r="H16" s="48">
        <f>+H52</f>
        <v>0</v>
      </c>
      <c r="I16" s="48">
        <f t="shared" si="9"/>
        <v>0</v>
      </c>
      <c r="J16" s="48">
        <f>+J52</f>
        <v>935227.4</v>
      </c>
      <c r="K16" s="48">
        <f t="shared" si="10"/>
        <v>0.58321109665043847</v>
      </c>
      <c r="L16" s="48">
        <f>+L52</f>
        <v>1272727.3999999999</v>
      </c>
      <c r="M16" s="48">
        <f t="shared" si="11"/>
        <v>0.79367728393229398</v>
      </c>
      <c r="N16" s="48">
        <f>+N52</f>
        <v>159085572.59999999</v>
      </c>
      <c r="O16" s="48">
        <f t="shared" si="12"/>
        <v>99.206322716067703</v>
      </c>
      <c r="P16" s="48">
        <f>+P52</f>
        <v>159085572.59999999</v>
      </c>
      <c r="Q16" s="48">
        <f t="shared" si="6"/>
        <v>99.206322716067703</v>
      </c>
    </row>
    <row r="17" spans="1:17">
      <c r="A17" s="45" t="s">
        <v>138</v>
      </c>
      <c r="B17" s="48">
        <f t="shared" si="13"/>
        <v>4015000</v>
      </c>
      <c r="C17" s="48">
        <f t="shared" si="13"/>
        <v>2015000</v>
      </c>
      <c r="D17" s="48">
        <f t="shared" si="13"/>
        <v>0</v>
      </c>
      <c r="E17" s="48">
        <f t="shared" si="1"/>
        <v>0</v>
      </c>
      <c r="F17" s="48">
        <f>+F53</f>
        <v>1000</v>
      </c>
      <c r="G17" s="48">
        <f t="shared" si="1"/>
        <v>4.9627791563275438E-2</v>
      </c>
      <c r="H17" s="48">
        <f>+H53</f>
        <v>0</v>
      </c>
      <c r="I17" s="48">
        <f t="shared" si="9"/>
        <v>0</v>
      </c>
      <c r="J17" s="48">
        <f>+J53</f>
        <v>242461.49999999997</v>
      </c>
      <c r="K17" s="48">
        <f t="shared" si="10"/>
        <v>12.032828784119104</v>
      </c>
      <c r="L17" s="48">
        <f>+L53</f>
        <v>243461.49999999997</v>
      </c>
      <c r="M17" s="48">
        <f t="shared" si="11"/>
        <v>12.082456575682381</v>
      </c>
      <c r="N17" s="48">
        <f>+N53</f>
        <v>1771538.5</v>
      </c>
      <c r="O17" s="48">
        <f t="shared" si="12"/>
        <v>87.917543424317614</v>
      </c>
      <c r="P17" s="48">
        <f>+P53</f>
        <v>3771538.5</v>
      </c>
      <c r="Q17" s="48">
        <f t="shared" si="6"/>
        <v>93.936201743462021</v>
      </c>
    </row>
    <row r="18" spans="1:17" s="37" customFormat="1">
      <c r="A18" s="46" t="s">
        <v>135</v>
      </c>
      <c r="B18" s="49">
        <f>SUM(B15:B17)</f>
        <v>328939600</v>
      </c>
      <c r="C18" s="49">
        <f t="shared" ref="C18:P18" si="14">SUM(C15:C17)</f>
        <v>244648900</v>
      </c>
      <c r="D18" s="49">
        <f t="shared" si="14"/>
        <v>639749</v>
      </c>
      <c r="E18" s="49">
        <f t="shared" si="1"/>
        <v>0.2614967817145305</v>
      </c>
      <c r="F18" s="49">
        <f t="shared" si="14"/>
        <v>1025855.53</v>
      </c>
      <c r="G18" s="49">
        <f t="shared" si="1"/>
        <v>0.41931745043611479</v>
      </c>
      <c r="H18" s="49">
        <f t="shared" si="14"/>
        <v>944810.85000000009</v>
      </c>
      <c r="I18" s="49">
        <f t="shared" si="9"/>
        <v>0.38619051628680945</v>
      </c>
      <c r="J18" s="49">
        <f t="shared" si="14"/>
        <v>25491903.73</v>
      </c>
      <c r="K18" s="49">
        <f t="shared" si="10"/>
        <v>10.419790863559983</v>
      </c>
      <c r="L18" s="49">
        <f t="shared" si="14"/>
        <v>28102319.109999999</v>
      </c>
      <c r="M18" s="49">
        <f t="shared" si="11"/>
        <v>11.486795611997438</v>
      </c>
      <c r="N18" s="49">
        <f t="shared" si="14"/>
        <v>216546580.88999999</v>
      </c>
      <c r="O18" s="49">
        <f t="shared" si="12"/>
        <v>88.513204388002563</v>
      </c>
      <c r="P18" s="49">
        <f t="shared" si="14"/>
        <v>300837280.88999999</v>
      </c>
      <c r="Q18" s="49">
        <f t="shared" si="6"/>
        <v>91.456693231827359</v>
      </c>
    </row>
    <row r="19" spans="1:17">
      <c r="A19" s="44" t="s">
        <v>139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>
      <c r="A20" s="45" t="s">
        <v>134</v>
      </c>
      <c r="B20" s="48">
        <f t="shared" ref="B20:D21" si="15">+B56</f>
        <v>15069400</v>
      </c>
      <c r="C20" s="48">
        <f t="shared" si="15"/>
        <v>7534700</v>
      </c>
      <c r="D20" s="48">
        <f t="shared" si="15"/>
        <v>0</v>
      </c>
      <c r="E20" s="48">
        <f t="shared" si="1"/>
        <v>0</v>
      </c>
      <c r="F20" s="48">
        <f>+F56</f>
        <v>509729.58999999997</v>
      </c>
      <c r="G20" s="48">
        <f t="shared" si="1"/>
        <v>6.7650946952101609</v>
      </c>
      <c r="H20" s="48">
        <f>+H56</f>
        <v>85600</v>
      </c>
      <c r="I20" s="48">
        <f t="shared" ref="I20:I22" si="16">+H20*100/$C20</f>
        <v>1.1360770833609832</v>
      </c>
      <c r="J20" s="48">
        <f>+J56</f>
        <v>1209932.1500000001</v>
      </c>
      <c r="K20" s="48">
        <f t="shared" ref="K20:K22" si="17">+J20*100/$C20</f>
        <v>16.058133037811725</v>
      </c>
      <c r="L20" s="48">
        <f>+L56</f>
        <v>1805261.7400000002</v>
      </c>
      <c r="M20" s="48">
        <f t="shared" ref="M20:M22" si="18">+L20*100/$C20</f>
        <v>23.959304816382872</v>
      </c>
      <c r="N20" s="48">
        <f>+N56</f>
        <v>5729438.2599999998</v>
      </c>
      <c r="O20" s="48">
        <f t="shared" ref="O20:O22" si="19">+N20*100/$C20</f>
        <v>76.040695183617132</v>
      </c>
      <c r="P20" s="48">
        <f>+P56</f>
        <v>13264138.26</v>
      </c>
      <c r="Q20" s="48">
        <f t="shared" si="6"/>
        <v>88.020347591808559</v>
      </c>
    </row>
    <row r="21" spans="1:17">
      <c r="A21" s="45" t="s">
        <v>137</v>
      </c>
      <c r="B21" s="48">
        <f t="shared" si="15"/>
        <v>2375300</v>
      </c>
      <c r="C21" s="48">
        <f t="shared" si="15"/>
        <v>2375300</v>
      </c>
      <c r="D21" s="48">
        <f t="shared" si="15"/>
        <v>1070863.73</v>
      </c>
      <c r="E21" s="48">
        <f t="shared" si="1"/>
        <v>45.083304424704245</v>
      </c>
      <c r="F21" s="48">
        <f>+F57</f>
        <v>0</v>
      </c>
      <c r="G21" s="48">
        <f t="shared" si="1"/>
        <v>0</v>
      </c>
      <c r="H21" s="48">
        <f>+H57</f>
        <v>0</v>
      </c>
      <c r="I21" s="48">
        <f t="shared" si="16"/>
        <v>0</v>
      </c>
      <c r="J21" s="48">
        <f>+J57</f>
        <v>189900</v>
      </c>
      <c r="K21" s="48">
        <f t="shared" si="17"/>
        <v>7.9947796067865111</v>
      </c>
      <c r="L21" s="48">
        <f>+L57</f>
        <v>1260763.73</v>
      </c>
      <c r="M21" s="48">
        <f t="shared" si="18"/>
        <v>53.078084031490761</v>
      </c>
      <c r="N21" s="48">
        <f>+N57</f>
        <v>1114536.27</v>
      </c>
      <c r="O21" s="48">
        <f t="shared" si="19"/>
        <v>46.921915968509239</v>
      </c>
      <c r="P21" s="48">
        <f>+P57</f>
        <v>1114536.27</v>
      </c>
      <c r="Q21" s="48">
        <f t="shared" si="6"/>
        <v>46.921915968509239</v>
      </c>
    </row>
    <row r="22" spans="1:17" s="37" customFormat="1">
      <c r="A22" s="46" t="s">
        <v>135</v>
      </c>
      <c r="B22" s="49">
        <f>SUM(B20:B21)</f>
        <v>17444700</v>
      </c>
      <c r="C22" s="49">
        <f t="shared" ref="C22:P22" si="20">SUM(C20:C21)</f>
        <v>9910000</v>
      </c>
      <c r="D22" s="49">
        <f t="shared" si="20"/>
        <v>1070863.73</v>
      </c>
      <c r="E22" s="49">
        <f t="shared" si="1"/>
        <v>10.805890312815338</v>
      </c>
      <c r="F22" s="49">
        <f t="shared" si="20"/>
        <v>509729.58999999997</v>
      </c>
      <c r="G22" s="49">
        <f t="shared" si="1"/>
        <v>5.1435881937436934</v>
      </c>
      <c r="H22" s="49">
        <f t="shared" si="20"/>
        <v>85600</v>
      </c>
      <c r="I22" s="49">
        <f t="shared" si="16"/>
        <v>0.863773965691221</v>
      </c>
      <c r="J22" s="49">
        <f t="shared" si="20"/>
        <v>1399832.1500000001</v>
      </c>
      <c r="K22" s="49">
        <f t="shared" si="17"/>
        <v>14.125450554994954</v>
      </c>
      <c r="L22" s="49">
        <f t="shared" si="20"/>
        <v>3066025.47</v>
      </c>
      <c r="M22" s="49">
        <f t="shared" si="18"/>
        <v>30.938703027245207</v>
      </c>
      <c r="N22" s="49">
        <f t="shared" si="20"/>
        <v>6843974.5299999993</v>
      </c>
      <c r="O22" s="49">
        <f t="shared" si="19"/>
        <v>69.061296972754775</v>
      </c>
      <c r="P22" s="49">
        <f t="shared" si="20"/>
        <v>14378674.529999999</v>
      </c>
      <c r="Q22" s="49">
        <f t="shared" si="6"/>
        <v>82.424315293470229</v>
      </c>
    </row>
    <row r="23" spans="1:17">
      <c r="A23" s="46" t="s">
        <v>140</v>
      </c>
      <c r="B23" s="41"/>
      <c r="C23" s="41"/>
      <c r="D23" s="41"/>
      <c r="E23" s="48"/>
      <c r="F23" s="41"/>
      <c r="G23" s="48"/>
      <c r="H23" s="41"/>
      <c r="I23" s="48"/>
      <c r="J23" s="41"/>
      <c r="K23" s="48"/>
      <c r="L23" s="41"/>
      <c r="M23" s="48"/>
      <c r="N23" s="41"/>
      <c r="O23" s="48"/>
      <c r="P23" s="41"/>
      <c r="Q23" s="48"/>
    </row>
    <row r="24" spans="1:17">
      <c r="A24" s="45" t="s">
        <v>134</v>
      </c>
      <c r="B24" s="48">
        <f>+B15+B20</f>
        <v>179635700</v>
      </c>
      <c r="C24" s="48">
        <f t="shared" ref="C24:P24" si="21">+C15+C20</f>
        <v>89810300</v>
      </c>
      <c r="D24" s="48">
        <f t="shared" si="21"/>
        <v>302249</v>
      </c>
      <c r="E24" s="48">
        <f t="shared" si="1"/>
        <v>0.33654157707968907</v>
      </c>
      <c r="F24" s="48">
        <f t="shared" si="21"/>
        <v>1534585.12</v>
      </c>
      <c r="G24" s="48">
        <f t="shared" si="1"/>
        <v>1.7086961295085308</v>
      </c>
      <c r="H24" s="48">
        <f t="shared" si="21"/>
        <v>1030410.8500000001</v>
      </c>
      <c r="I24" s="48">
        <f t="shared" ref="I24:I27" si="22">+H24*100/$C24</f>
        <v>1.1473192384392439</v>
      </c>
      <c r="J24" s="48">
        <f t="shared" si="21"/>
        <v>25524146.98</v>
      </c>
      <c r="K24" s="48">
        <f t="shared" ref="K24:K27" si="23">+J24*100/$C24</f>
        <v>28.420066495713744</v>
      </c>
      <c r="L24" s="48">
        <f t="shared" si="21"/>
        <v>28391391.950000003</v>
      </c>
      <c r="M24" s="48">
        <f t="shared" ref="M24:M27" si="24">+L24*100/$C24</f>
        <v>31.612623440741213</v>
      </c>
      <c r="N24" s="48">
        <f t="shared" si="21"/>
        <v>61418908.04999999</v>
      </c>
      <c r="O24" s="48">
        <f t="shared" ref="O24:O27" si="25">+N24*100/$C24</f>
        <v>68.387376559258783</v>
      </c>
      <c r="P24" s="48">
        <f t="shared" si="21"/>
        <v>151244308.04999998</v>
      </c>
      <c r="Q24" s="48">
        <f t="shared" si="6"/>
        <v>84.195016942623312</v>
      </c>
    </row>
    <row r="25" spans="1:17">
      <c r="A25" s="45" t="s">
        <v>137</v>
      </c>
      <c r="B25" s="48">
        <f>+B16</f>
        <v>160358300</v>
      </c>
      <c r="C25" s="48">
        <f t="shared" ref="C25:P26" si="26">+C16</f>
        <v>160358300</v>
      </c>
      <c r="D25" s="48">
        <f t="shared" si="26"/>
        <v>337500</v>
      </c>
      <c r="E25" s="48">
        <f t="shared" si="1"/>
        <v>0.2104661872818557</v>
      </c>
      <c r="F25" s="48">
        <f t="shared" si="26"/>
        <v>0</v>
      </c>
      <c r="G25" s="48">
        <f t="shared" si="1"/>
        <v>0</v>
      </c>
      <c r="H25" s="48">
        <f t="shared" si="26"/>
        <v>0</v>
      </c>
      <c r="I25" s="48">
        <f t="shared" si="22"/>
        <v>0</v>
      </c>
      <c r="J25" s="48">
        <f t="shared" si="26"/>
        <v>935227.4</v>
      </c>
      <c r="K25" s="48">
        <f t="shared" si="23"/>
        <v>0.58321109665043847</v>
      </c>
      <c r="L25" s="48">
        <f t="shared" si="26"/>
        <v>1272727.3999999999</v>
      </c>
      <c r="M25" s="48">
        <f t="shared" si="24"/>
        <v>0.79367728393229398</v>
      </c>
      <c r="N25" s="48">
        <f t="shared" si="26"/>
        <v>159085572.59999999</v>
      </c>
      <c r="O25" s="48">
        <f t="shared" si="25"/>
        <v>99.206322716067703</v>
      </c>
      <c r="P25" s="48">
        <f t="shared" si="26"/>
        <v>159085572.59999999</v>
      </c>
      <c r="Q25" s="48">
        <f t="shared" si="6"/>
        <v>99.206322716067703</v>
      </c>
    </row>
    <row r="26" spans="1:17">
      <c r="A26" s="45" t="s">
        <v>138</v>
      </c>
      <c r="B26" s="48">
        <f>+B17</f>
        <v>4015000</v>
      </c>
      <c r="C26" s="48">
        <f t="shared" si="26"/>
        <v>2015000</v>
      </c>
      <c r="D26" s="48">
        <f t="shared" si="26"/>
        <v>0</v>
      </c>
      <c r="E26" s="48">
        <f t="shared" si="1"/>
        <v>0</v>
      </c>
      <c r="F26" s="48">
        <f t="shared" si="26"/>
        <v>1000</v>
      </c>
      <c r="G26" s="48">
        <f t="shared" si="1"/>
        <v>4.9627791563275438E-2</v>
      </c>
      <c r="H26" s="48">
        <f t="shared" si="26"/>
        <v>0</v>
      </c>
      <c r="I26" s="48">
        <f t="shared" si="22"/>
        <v>0</v>
      </c>
      <c r="J26" s="48">
        <f t="shared" si="26"/>
        <v>242461.49999999997</v>
      </c>
      <c r="K26" s="48">
        <f t="shared" si="23"/>
        <v>12.032828784119104</v>
      </c>
      <c r="L26" s="48">
        <f t="shared" si="26"/>
        <v>243461.49999999997</v>
      </c>
      <c r="M26" s="48">
        <f t="shared" si="24"/>
        <v>12.082456575682381</v>
      </c>
      <c r="N26" s="48">
        <f t="shared" si="26"/>
        <v>1771538.5</v>
      </c>
      <c r="O26" s="48">
        <f t="shared" si="25"/>
        <v>87.917543424317614</v>
      </c>
      <c r="P26" s="48">
        <f t="shared" si="26"/>
        <v>3771538.5</v>
      </c>
      <c r="Q26" s="48">
        <f t="shared" si="6"/>
        <v>93.936201743462021</v>
      </c>
    </row>
    <row r="27" spans="1:17" s="37" customFormat="1">
      <c r="A27" s="46" t="s">
        <v>141</v>
      </c>
      <c r="B27" s="49">
        <f>SUM(B24:B26)</f>
        <v>344009000</v>
      </c>
      <c r="C27" s="49">
        <f t="shared" ref="C27:P27" si="27">SUM(C24:C26)</f>
        <v>252183600</v>
      </c>
      <c r="D27" s="49">
        <f t="shared" si="27"/>
        <v>639749</v>
      </c>
      <c r="E27" s="49">
        <f t="shared" si="1"/>
        <v>0.2536838240075881</v>
      </c>
      <c r="F27" s="49">
        <f t="shared" si="27"/>
        <v>1535585.12</v>
      </c>
      <c r="G27" s="49">
        <f t="shared" si="1"/>
        <v>0.60891553614112892</v>
      </c>
      <c r="H27" s="49">
        <f t="shared" si="27"/>
        <v>1030410.8500000001</v>
      </c>
      <c r="I27" s="49">
        <f t="shared" si="22"/>
        <v>0.40859550343479917</v>
      </c>
      <c r="J27" s="49">
        <f t="shared" si="27"/>
        <v>26701835.879999999</v>
      </c>
      <c r="K27" s="49">
        <f t="shared" si="23"/>
        <v>10.588252320928087</v>
      </c>
      <c r="L27" s="49">
        <f t="shared" si="27"/>
        <v>29907580.850000001</v>
      </c>
      <c r="M27" s="49">
        <f t="shared" si="24"/>
        <v>11.859447184511602</v>
      </c>
      <c r="N27" s="49">
        <f t="shared" si="27"/>
        <v>222276019.14999998</v>
      </c>
      <c r="O27" s="49">
        <f t="shared" si="25"/>
        <v>88.140552815488377</v>
      </c>
      <c r="P27" s="49">
        <f t="shared" si="27"/>
        <v>314101419.14999998</v>
      </c>
      <c r="Q27" s="49">
        <f t="shared" si="6"/>
        <v>91.306163254449729</v>
      </c>
    </row>
    <row r="28" spans="1:17">
      <c r="A28" s="44" t="s">
        <v>142</v>
      </c>
      <c r="B28" s="41"/>
      <c r="C28" s="41"/>
      <c r="D28" s="41"/>
      <c r="E28" s="48"/>
      <c r="F28" s="41"/>
      <c r="G28" s="48"/>
      <c r="H28" s="41"/>
      <c r="I28" s="48"/>
      <c r="J28" s="41"/>
      <c r="K28" s="48"/>
      <c r="L28" s="41"/>
      <c r="M28" s="48"/>
      <c r="N28" s="41"/>
      <c r="O28" s="48"/>
      <c r="P28" s="41"/>
      <c r="Q28" s="48"/>
    </row>
    <row r="29" spans="1:17">
      <c r="A29" s="45" t="s">
        <v>134</v>
      </c>
      <c r="B29" s="48">
        <f>+B60+B80</f>
        <v>70879700</v>
      </c>
      <c r="C29" s="48">
        <f t="shared" ref="C29:D29" si="28">+C60+C80</f>
        <v>35439800</v>
      </c>
      <c r="D29" s="48">
        <f t="shared" si="28"/>
        <v>0</v>
      </c>
      <c r="E29" s="48">
        <f t="shared" ref="E29:G41" si="29">+D29*100/$C29</f>
        <v>0</v>
      </c>
      <c r="F29" s="48">
        <f>+F60+F80</f>
        <v>65700</v>
      </c>
      <c r="G29" s="48">
        <f t="shared" si="29"/>
        <v>0.18538479336790839</v>
      </c>
      <c r="H29" s="48">
        <f>+H60+H80</f>
        <v>132680</v>
      </c>
      <c r="I29" s="48">
        <f t="shared" ref="I29:I31" si="30">+H29*100/$C29</f>
        <v>0.37438134526718547</v>
      </c>
      <c r="J29" s="48">
        <f>+J60+J80</f>
        <v>2374177.0299999998</v>
      </c>
      <c r="K29" s="48">
        <f t="shared" ref="K29:K31" si="31">+J29*100/$C29</f>
        <v>6.6991829242828675</v>
      </c>
      <c r="L29" s="48">
        <f>+L60+L80</f>
        <v>2572557.0299999998</v>
      </c>
      <c r="M29" s="48">
        <f t="shared" ref="M29:M31" si="32">+L29*100/$C29</f>
        <v>7.2589490629179618</v>
      </c>
      <c r="N29" s="48">
        <f>+N60+N80</f>
        <v>32867242.969999999</v>
      </c>
      <c r="O29" s="48">
        <f t="shared" ref="O29:O31" si="33">+N29*100/$C29</f>
        <v>92.741050937082036</v>
      </c>
      <c r="P29" s="48">
        <f>+P60+P80</f>
        <v>68307142.969999999</v>
      </c>
      <c r="Q29" s="48">
        <f t="shared" si="6"/>
        <v>96.370530589153176</v>
      </c>
    </row>
    <row r="30" spans="1:17">
      <c r="A30" s="45" t="s">
        <v>137</v>
      </c>
      <c r="B30" s="48">
        <f t="shared" ref="B30:D30" si="34">+B61</f>
        <v>58911700</v>
      </c>
      <c r="C30" s="48">
        <f t="shared" si="34"/>
        <v>58911700</v>
      </c>
      <c r="D30" s="48">
        <f t="shared" si="34"/>
        <v>0</v>
      </c>
      <c r="E30" s="48">
        <f t="shared" si="29"/>
        <v>0</v>
      </c>
      <c r="F30" s="48">
        <f>+F61</f>
        <v>0</v>
      </c>
      <c r="G30" s="48">
        <f t="shared" si="29"/>
        <v>0</v>
      </c>
      <c r="H30" s="48">
        <f>+H61</f>
        <v>0</v>
      </c>
      <c r="I30" s="48">
        <f t="shared" si="30"/>
        <v>0</v>
      </c>
      <c r="J30" s="48">
        <f>+J61</f>
        <v>0</v>
      </c>
      <c r="K30" s="48">
        <f t="shared" si="31"/>
        <v>0</v>
      </c>
      <c r="L30" s="48">
        <f>+L61</f>
        <v>0</v>
      </c>
      <c r="M30" s="48">
        <f t="shared" si="32"/>
        <v>0</v>
      </c>
      <c r="N30" s="48">
        <f>+N61</f>
        <v>58911700</v>
      </c>
      <c r="O30" s="48">
        <f t="shared" si="33"/>
        <v>100</v>
      </c>
      <c r="P30" s="48">
        <f>+P61</f>
        <v>58911700</v>
      </c>
      <c r="Q30" s="48">
        <f t="shared" si="6"/>
        <v>100</v>
      </c>
    </row>
    <row r="31" spans="1:17" s="37" customFormat="1">
      <c r="A31" s="46" t="s">
        <v>135</v>
      </c>
      <c r="B31" s="49">
        <f>SUM(B29:B30)</f>
        <v>129791400</v>
      </c>
      <c r="C31" s="49">
        <f t="shared" ref="C31:P31" si="35">SUM(C29:C30)</f>
        <v>94351500</v>
      </c>
      <c r="D31" s="49">
        <f t="shared" si="35"/>
        <v>0</v>
      </c>
      <c r="E31" s="49">
        <f t="shared" si="29"/>
        <v>0</v>
      </c>
      <c r="F31" s="49">
        <f t="shared" si="35"/>
        <v>65700</v>
      </c>
      <c r="G31" s="49">
        <f t="shared" si="29"/>
        <v>6.9633233175943152E-2</v>
      </c>
      <c r="H31" s="49">
        <f t="shared" si="35"/>
        <v>132680</v>
      </c>
      <c r="I31" s="49">
        <f t="shared" si="30"/>
        <v>0.14062309555226996</v>
      </c>
      <c r="J31" s="49">
        <f t="shared" si="35"/>
        <v>2374177.0299999998</v>
      </c>
      <c r="K31" s="49">
        <f t="shared" si="31"/>
        <v>2.5163108482642031</v>
      </c>
      <c r="L31" s="49">
        <f t="shared" si="35"/>
        <v>2572557.0299999998</v>
      </c>
      <c r="M31" s="49">
        <f t="shared" si="32"/>
        <v>2.7265671769924165</v>
      </c>
      <c r="N31" s="49">
        <f t="shared" si="35"/>
        <v>91778942.969999999</v>
      </c>
      <c r="O31" s="49">
        <f t="shared" si="33"/>
        <v>97.273432823007582</v>
      </c>
      <c r="P31" s="49">
        <f t="shared" si="35"/>
        <v>127218842.97</v>
      </c>
      <c r="Q31" s="49">
        <f t="shared" si="6"/>
        <v>98.017929516131275</v>
      </c>
    </row>
    <row r="32" spans="1:17">
      <c r="A32" s="44" t="s">
        <v>143</v>
      </c>
      <c r="B32" s="48"/>
      <c r="C32" s="48"/>
      <c r="D32" s="48">
        <f>+D63</f>
        <v>0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>
      <c r="A33" s="45" t="s">
        <v>137</v>
      </c>
      <c r="B33" s="48">
        <f>+B64</f>
        <v>8500000</v>
      </c>
      <c r="C33" s="48">
        <f>+C64</f>
        <v>8500000</v>
      </c>
      <c r="D33" s="48">
        <f>+D64</f>
        <v>0</v>
      </c>
      <c r="E33" s="48">
        <f t="shared" si="29"/>
        <v>0</v>
      </c>
      <c r="F33" s="48">
        <f>+F64</f>
        <v>0</v>
      </c>
      <c r="G33" s="48">
        <f t="shared" si="29"/>
        <v>0</v>
      </c>
      <c r="H33" s="48">
        <f>+H64</f>
        <v>0</v>
      </c>
      <c r="I33" s="48">
        <f t="shared" ref="I33:I35" si="36">+H33*100/$C33</f>
        <v>0</v>
      </c>
      <c r="J33" s="48">
        <f>+J64</f>
        <v>0</v>
      </c>
      <c r="K33" s="48">
        <f t="shared" ref="K33:K35" si="37">+J33*100/$C33</f>
        <v>0</v>
      </c>
      <c r="L33" s="48">
        <f>+L64</f>
        <v>0</v>
      </c>
      <c r="M33" s="48">
        <f t="shared" ref="M33:M35" si="38">+L33*100/$C33</f>
        <v>0</v>
      </c>
      <c r="N33" s="48">
        <f>+N64</f>
        <v>8500000</v>
      </c>
      <c r="O33" s="48">
        <f t="shared" ref="O33:O35" si="39">+N33*100/$C33</f>
        <v>100</v>
      </c>
      <c r="P33" s="48">
        <f>+P64</f>
        <v>8500000</v>
      </c>
      <c r="Q33" s="48">
        <f t="shared" si="6"/>
        <v>100</v>
      </c>
    </row>
    <row r="34" spans="1:17">
      <c r="A34" s="45" t="s">
        <v>138</v>
      </c>
      <c r="B34" s="48">
        <f>+B65+B82</f>
        <v>20700000</v>
      </c>
      <c r="C34" s="48">
        <f t="shared" ref="C34:P34" si="40">+C65+C82</f>
        <v>10350000</v>
      </c>
      <c r="D34" s="48">
        <f t="shared" si="40"/>
        <v>0</v>
      </c>
      <c r="E34" s="48">
        <f t="shared" si="29"/>
        <v>0</v>
      </c>
      <c r="F34" s="48">
        <f t="shared" si="40"/>
        <v>47306.5</v>
      </c>
      <c r="G34" s="48">
        <f t="shared" si="29"/>
        <v>0.45706763285024155</v>
      </c>
      <c r="H34" s="48">
        <f t="shared" si="40"/>
        <v>0</v>
      </c>
      <c r="I34" s="48">
        <f t="shared" si="36"/>
        <v>0</v>
      </c>
      <c r="J34" s="48">
        <f t="shared" si="40"/>
        <v>3333121.73</v>
      </c>
      <c r="K34" s="48">
        <f t="shared" si="37"/>
        <v>32.204074685990335</v>
      </c>
      <c r="L34" s="48">
        <f t="shared" si="40"/>
        <v>3380428.23</v>
      </c>
      <c r="M34" s="48">
        <f t="shared" si="38"/>
        <v>32.661142318840582</v>
      </c>
      <c r="N34" s="48">
        <f t="shared" si="40"/>
        <v>6969571.7699999996</v>
      </c>
      <c r="O34" s="48">
        <f t="shared" si="39"/>
        <v>67.338857681159425</v>
      </c>
      <c r="P34" s="48">
        <f t="shared" si="40"/>
        <v>17319571.77</v>
      </c>
      <c r="Q34" s="48">
        <f t="shared" si="6"/>
        <v>83.669428840579712</v>
      </c>
    </row>
    <row r="35" spans="1:17" s="37" customFormat="1">
      <c r="A35" s="46" t="s">
        <v>135</v>
      </c>
      <c r="B35" s="49">
        <f>SUM(B33:B34)</f>
        <v>29200000</v>
      </c>
      <c r="C35" s="49">
        <f t="shared" ref="C35:P35" si="41">SUM(C33:C34)</f>
        <v>18850000</v>
      </c>
      <c r="D35" s="49">
        <f t="shared" si="41"/>
        <v>0</v>
      </c>
      <c r="E35" s="49">
        <f t="shared" si="29"/>
        <v>0</v>
      </c>
      <c r="F35" s="49">
        <f t="shared" si="41"/>
        <v>47306.5</v>
      </c>
      <c r="G35" s="49">
        <f t="shared" si="29"/>
        <v>0.25096286472148543</v>
      </c>
      <c r="H35" s="49">
        <f t="shared" si="41"/>
        <v>0</v>
      </c>
      <c r="I35" s="49">
        <f t="shared" si="36"/>
        <v>0</v>
      </c>
      <c r="J35" s="49">
        <f t="shared" si="41"/>
        <v>3333121.73</v>
      </c>
      <c r="K35" s="49">
        <f t="shared" si="37"/>
        <v>17.682343395225463</v>
      </c>
      <c r="L35" s="49">
        <f t="shared" si="41"/>
        <v>3380428.23</v>
      </c>
      <c r="M35" s="49">
        <f t="shared" si="38"/>
        <v>17.933306259946949</v>
      </c>
      <c r="N35" s="49">
        <f t="shared" si="41"/>
        <v>15469571.77</v>
      </c>
      <c r="O35" s="49">
        <f t="shared" si="39"/>
        <v>82.066693740053054</v>
      </c>
      <c r="P35" s="49">
        <f t="shared" si="41"/>
        <v>25819571.77</v>
      </c>
      <c r="Q35" s="49">
        <f t="shared" si="6"/>
        <v>88.423190993150683</v>
      </c>
    </row>
    <row r="36" spans="1:17">
      <c r="A36" s="46" t="s">
        <v>144</v>
      </c>
      <c r="B36" s="41"/>
      <c r="C36" s="41"/>
      <c r="D36" s="41"/>
      <c r="E36" s="48"/>
      <c r="F36" s="41"/>
      <c r="G36" s="48"/>
      <c r="H36" s="41"/>
      <c r="I36" s="48"/>
      <c r="J36" s="41"/>
      <c r="K36" s="48"/>
      <c r="L36" s="41"/>
      <c r="M36" s="48"/>
      <c r="N36" s="41"/>
      <c r="O36" s="48"/>
      <c r="P36" s="41"/>
      <c r="Q36" s="48"/>
    </row>
    <row r="37" spans="1:17" s="37" customFormat="1">
      <c r="A37" s="44" t="s">
        <v>133</v>
      </c>
      <c r="B37" s="49">
        <f>+B11</f>
        <v>368231400</v>
      </c>
      <c r="C37" s="49">
        <f t="shared" ref="C37:P37" si="42">+C11</f>
        <v>184115700</v>
      </c>
      <c r="D37" s="49">
        <f t="shared" si="42"/>
        <v>0</v>
      </c>
      <c r="E37" s="49">
        <f t="shared" si="29"/>
        <v>0</v>
      </c>
      <c r="F37" s="49">
        <f t="shared" si="42"/>
        <v>0</v>
      </c>
      <c r="G37" s="49">
        <f t="shared" si="29"/>
        <v>0</v>
      </c>
      <c r="H37" s="49">
        <f t="shared" si="42"/>
        <v>0</v>
      </c>
      <c r="I37" s="49">
        <f t="shared" ref="I37:I41" si="43">+H37*100/$C37</f>
        <v>0</v>
      </c>
      <c r="J37" s="49">
        <f t="shared" si="42"/>
        <v>94670302.109999999</v>
      </c>
      <c r="K37" s="49">
        <f t="shared" ref="K37:K41" si="44">+J37*100/$C37</f>
        <v>51.418918707095592</v>
      </c>
      <c r="L37" s="49">
        <f t="shared" si="42"/>
        <v>94670302.109999999</v>
      </c>
      <c r="M37" s="49">
        <f t="shared" ref="M37:M41" si="45">+L37*100/$C37</f>
        <v>51.418918707095592</v>
      </c>
      <c r="N37" s="49">
        <f t="shared" si="42"/>
        <v>89445397.890000001</v>
      </c>
      <c r="O37" s="49">
        <f t="shared" ref="O37:O41" si="46">+N37*100/$C37</f>
        <v>48.581081292904408</v>
      </c>
      <c r="P37" s="49">
        <f t="shared" si="42"/>
        <v>273561097.88999999</v>
      </c>
      <c r="Q37" s="49">
        <f t="shared" si="6"/>
        <v>74.2905406464522</v>
      </c>
    </row>
    <row r="38" spans="1:17" s="37" customFormat="1">
      <c r="A38" s="44" t="s">
        <v>134</v>
      </c>
      <c r="B38" s="49">
        <f>+B12+B15+B20+B29</f>
        <v>274945000</v>
      </c>
      <c r="C38" s="49">
        <f t="shared" ref="C38:P38" si="47">+C12+C15+C20+C29</f>
        <v>137464900</v>
      </c>
      <c r="D38" s="49">
        <f t="shared" si="47"/>
        <v>302249</v>
      </c>
      <c r="E38" s="49">
        <f t="shared" si="29"/>
        <v>0.21987358227445697</v>
      </c>
      <c r="F38" s="49">
        <f t="shared" si="47"/>
        <v>1629085.12</v>
      </c>
      <c r="G38" s="49">
        <f t="shared" si="29"/>
        <v>1.1850916997720873</v>
      </c>
      <c r="H38" s="49">
        <f t="shared" si="47"/>
        <v>1163090.8500000001</v>
      </c>
      <c r="I38" s="49">
        <f t="shared" si="43"/>
        <v>0.8461002408614855</v>
      </c>
      <c r="J38" s="49">
        <f t="shared" si="47"/>
        <v>33285047.23</v>
      </c>
      <c r="K38" s="49">
        <f t="shared" si="44"/>
        <v>24.213488119512689</v>
      </c>
      <c r="L38" s="49">
        <f t="shared" si="47"/>
        <v>36379472.200000003</v>
      </c>
      <c r="M38" s="49">
        <f t="shared" si="45"/>
        <v>26.464553642420722</v>
      </c>
      <c r="N38" s="49">
        <f t="shared" si="47"/>
        <v>101085427.8</v>
      </c>
      <c r="O38" s="49">
        <f t="shared" si="46"/>
        <v>73.535446357579275</v>
      </c>
      <c r="P38" s="49">
        <f t="shared" si="47"/>
        <v>238565527.79999998</v>
      </c>
      <c r="Q38" s="49">
        <f t="shared" si="6"/>
        <v>86.768454709123645</v>
      </c>
    </row>
    <row r="39" spans="1:17" s="37" customFormat="1">
      <c r="A39" s="44" t="s">
        <v>137</v>
      </c>
      <c r="B39" s="49">
        <f>+B16+B21+B30+B33</f>
        <v>230145300</v>
      </c>
      <c r="C39" s="49">
        <f t="shared" ref="C39:P39" si="48">+C16+C21+C30+C33</f>
        <v>230145300</v>
      </c>
      <c r="D39" s="49">
        <f t="shared" si="48"/>
        <v>1408363.73</v>
      </c>
      <c r="E39" s="49">
        <f t="shared" si="29"/>
        <v>0.61194546662478011</v>
      </c>
      <c r="F39" s="49">
        <f t="shared" si="48"/>
        <v>0</v>
      </c>
      <c r="G39" s="49">
        <f t="shared" si="29"/>
        <v>0</v>
      </c>
      <c r="H39" s="49">
        <f t="shared" si="48"/>
        <v>0</v>
      </c>
      <c r="I39" s="49">
        <f t="shared" si="43"/>
        <v>0</v>
      </c>
      <c r="J39" s="49">
        <f t="shared" si="48"/>
        <v>1125127.3999999999</v>
      </c>
      <c r="K39" s="49">
        <f t="shared" si="44"/>
        <v>0.48887698336659485</v>
      </c>
      <c r="L39" s="49">
        <f t="shared" si="48"/>
        <v>2533491.13</v>
      </c>
      <c r="M39" s="49">
        <f t="shared" si="45"/>
        <v>1.100822449991375</v>
      </c>
      <c r="N39" s="49">
        <f t="shared" si="48"/>
        <v>227611808.87</v>
      </c>
      <c r="O39" s="49">
        <f t="shared" si="46"/>
        <v>98.899177550008631</v>
      </c>
      <c r="P39" s="49">
        <f t="shared" si="48"/>
        <v>227611808.87</v>
      </c>
      <c r="Q39" s="49">
        <f t="shared" si="6"/>
        <v>98.899177550008631</v>
      </c>
    </row>
    <row r="40" spans="1:17" s="37" customFormat="1">
      <c r="A40" s="44" t="s">
        <v>138</v>
      </c>
      <c r="B40" s="49">
        <f>+B17+B34</f>
        <v>24715000</v>
      </c>
      <c r="C40" s="49">
        <f t="shared" ref="C40:P40" si="49">+C17+C34</f>
        <v>12365000</v>
      </c>
      <c r="D40" s="49">
        <f t="shared" si="49"/>
        <v>0</v>
      </c>
      <c r="E40" s="49">
        <f t="shared" si="29"/>
        <v>0</v>
      </c>
      <c r="F40" s="49">
        <f t="shared" si="49"/>
        <v>48306.5</v>
      </c>
      <c r="G40" s="49">
        <f t="shared" si="29"/>
        <v>0.39067124949454102</v>
      </c>
      <c r="H40" s="49">
        <f t="shared" si="49"/>
        <v>0</v>
      </c>
      <c r="I40" s="49">
        <f t="shared" si="43"/>
        <v>0</v>
      </c>
      <c r="J40" s="49">
        <f t="shared" si="49"/>
        <v>3575583.23</v>
      </c>
      <c r="K40" s="49">
        <f t="shared" si="44"/>
        <v>28.916969106348564</v>
      </c>
      <c r="L40" s="49">
        <f t="shared" si="49"/>
        <v>3623889.73</v>
      </c>
      <c r="M40" s="49">
        <f t="shared" si="45"/>
        <v>29.307640355843105</v>
      </c>
      <c r="N40" s="49">
        <f t="shared" si="49"/>
        <v>8741110.2699999996</v>
      </c>
      <c r="O40" s="49">
        <f t="shared" si="46"/>
        <v>70.692359644156895</v>
      </c>
      <c r="P40" s="49">
        <f t="shared" si="49"/>
        <v>21091110.27</v>
      </c>
      <c r="Q40" s="49">
        <f t="shared" si="6"/>
        <v>85.337286142019011</v>
      </c>
    </row>
    <row r="41" spans="1:17" s="37" customFormat="1">
      <c r="A41" s="46" t="s">
        <v>144</v>
      </c>
      <c r="B41" s="49">
        <f>SUM(B37:B40)</f>
        <v>898036700</v>
      </c>
      <c r="C41" s="49">
        <f t="shared" ref="C41:P41" si="50">SUM(C37:C40)</f>
        <v>564090900</v>
      </c>
      <c r="D41" s="49">
        <f t="shared" si="50"/>
        <v>1710612.73</v>
      </c>
      <c r="E41" s="49">
        <f t="shared" si="29"/>
        <v>0.30325125436343681</v>
      </c>
      <c r="F41" s="49">
        <f t="shared" si="50"/>
        <v>1677391.62</v>
      </c>
      <c r="G41" s="49">
        <f t="shared" si="29"/>
        <v>0.29736193581566372</v>
      </c>
      <c r="H41" s="49">
        <f t="shared" si="50"/>
        <v>1163090.8500000001</v>
      </c>
      <c r="I41" s="49">
        <f t="shared" si="43"/>
        <v>0.20618855046234572</v>
      </c>
      <c r="J41" s="49">
        <f t="shared" si="50"/>
        <v>132656059.97000001</v>
      </c>
      <c r="K41" s="49">
        <f t="shared" si="44"/>
        <v>23.516787803171443</v>
      </c>
      <c r="L41" s="49">
        <f t="shared" si="50"/>
        <v>137207155.16999999</v>
      </c>
      <c r="M41" s="49">
        <f t="shared" si="45"/>
        <v>24.323589543812883</v>
      </c>
      <c r="N41" s="49">
        <f t="shared" si="50"/>
        <v>426883744.82999998</v>
      </c>
      <c r="O41" s="49">
        <f t="shared" si="46"/>
        <v>75.676410456187114</v>
      </c>
      <c r="P41" s="49">
        <f t="shared" si="50"/>
        <v>760829544.82999992</v>
      </c>
      <c r="Q41" s="49">
        <f t="shared" si="6"/>
        <v>84.721431187611827</v>
      </c>
    </row>
    <row r="43" spans="1:17">
      <c r="A43" s="47" t="s">
        <v>146</v>
      </c>
    </row>
    <row r="44" spans="1:17" ht="21" customHeight="1">
      <c r="A44" s="1023" t="s">
        <v>130</v>
      </c>
      <c r="B44" s="1025" t="s">
        <v>118</v>
      </c>
      <c r="C44" s="1025" t="s">
        <v>131</v>
      </c>
      <c r="D44" s="1005" t="s">
        <v>5</v>
      </c>
      <c r="E44" s="1005"/>
      <c r="F44" s="1011" t="s">
        <v>6</v>
      </c>
      <c r="G44" s="1011"/>
      <c r="H44" s="1012" t="s">
        <v>7</v>
      </c>
      <c r="I44" s="1012"/>
      <c r="J44" s="1013" t="s">
        <v>127</v>
      </c>
      <c r="K44" s="1013"/>
      <c r="L44" s="1014" t="s">
        <v>121</v>
      </c>
      <c r="M44" s="1014"/>
      <c r="N44" s="1008" t="s">
        <v>128</v>
      </c>
      <c r="O44" s="1008"/>
      <c r="P44" s="1008" t="s">
        <v>129</v>
      </c>
      <c r="Q44" s="1008"/>
    </row>
    <row r="45" spans="1:17">
      <c r="A45" s="1024"/>
      <c r="B45" s="1026"/>
      <c r="C45" s="1026"/>
      <c r="D45" s="38" t="s">
        <v>119</v>
      </c>
      <c r="E45" s="38" t="s">
        <v>124</v>
      </c>
      <c r="F45" s="38" t="s">
        <v>119</v>
      </c>
      <c r="G45" s="38" t="s">
        <v>124</v>
      </c>
      <c r="H45" s="38" t="s">
        <v>119</v>
      </c>
      <c r="I45" s="38" t="s">
        <v>124</v>
      </c>
      <c r="J45" s="38" t="s">
        <v>119</v>
      </c>
      <c r="K45" s="38" t="s">
        <v>124</v>
      </c>
      <c r="L45" s="38" t="s">
        <v>119</v>
      </c>
      <c r="M45" s="38" t="s">
        <v>124</v>
      </c>
      <c r="N45" s="38" t="s">
        <v>119</v>
      </c>
      <c r="O45" s="38" t="s">
        <v>124</v>
      </c>
      <c r="P45" s="38" t="s">
        <v>119</v>
      </c>
      <c r="Q45" s="38" t="s">
        <v>124</v>
      </c>
    </row>
    <row r="46" spans="1:17">
      <c r="A46" s="44" t="s">
        <v>132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>
      <c r="A47" s="45" t="s">
        <v>133</v>
      </c>
      <c r="B47" s="39">
        <v>368231400</v>
      </c>
      <c r="C47" s="39">
        <v>184115700</v>
      </c>
      <c r="D47" s="39">
        <f>+'ยอดเบิกตาม GFMIS'!D47</f>
        <v>0</v>
      </c>
      <c r="E47" s="39">
        <f>+D47*100/$C47</f>
        <v>0</v>
      </c>
      <c r="F47" s="39">
        <f>+'ยอดเบิกตาม GFMIS'!F47</f>
        <v>0</v>
      </c>
      <c r="G47" s="39">
        <f>+F47*100/$C47</f>
        <v>0</v>
      </c>
      <c r="H47" s="39">
        <f>+'ยอดเบิกตาม GFMIS'!H47</f>
        <v>0</v>
      </c>
      <c r="I47" s="39">
        <f>+H47*100/$C47</f>
        <v>0</v>
      </c>
      <c r="J47" s="39">
        <f>+'ยอดเบิกตาม GFMIS'!J47</f>
        <v>94670302.109999999</v>
      </c>
      <c r="K47" s="39">
        <f>+J47*100/$C47</f>
        <v>51.418918707095592</v>
      </c>
      <c r="L47" s="39">
        <f>+D47+F47+H47+J47</f>
        <v>94670302.109999999</v>
      </c>
      <c r="M47" s="39">
        <f>+L47*100/$C47</f>
        <v>51.418918707095592</v>
      </c>
      <c r="N47" s="39">
        <f>+C47-L47</f>
        <v>89445397.890000001</v>
      </c>
      <c r="O47" s="39">
        <f>+N47*100/$C47</f>
        <v>48.581081292904408</v>
      </c>
      <c r="P47" s="39">
        <f>+B47-L47</f>
        <v>273561097.88999999</v>
      </c>
      <c r="Q47" s="39">
        <f>+P47*100/B47</f>
        <v>74.2905406464522</v>
      </c>
    </row>
    <row r="48" spans="1:17">
      <c r="A48" s="45" t="s">
        <v>134</v>
      </c>
      <c r="B48" s="39">
        <f>+งบดำเนินงาน!C31</f>
        <v>24429600</v>
      </c>
      <c r="C48" s="39">
        <f>+งบดำเนินงาน!D31</f>
        <v>12214800</v>
      </c>
      <c r="D48" s="39">
        <f>+งบดำเนินงาน!E31</f>
        <v>0</v>
      </c>
      <c r="E48" s="39">
        <f>+D48*100/$C48</f>
        <v>0</v>
      </c>
      <c r="F48" s="39">
        <f>+งบดำเนินงาน!G31</f>
        <v>28800</v>
      </c>
      <c r="G48" s="39">
        <f>+F48*100/$C48</f>
        <v>0.23577954612437371</v>
      </c>
      <c r="H48" s="39">
        <f>+งบดำเนินงาน!I31</f>
        <v>0</v>
      </c>
      <c r="I48" s="39">
        <f>+H48*100/$C48</f>
        <v>0</v>
      </c>
      <c r="J48" s="39">
        <f>+งบดำเนินงาน!K31</f>
        <v>5386723.2199999997</v>
      </c>
      <c r="K48" s="39">
        <f>+J48*100/$C48</f>
        <v>44.099970691292533</v>
      </c>
      <c r="L48" s="39">
        <f>+D48+F48+H48+J48</f>
        <v>5415523.2199999997</v>
      </c>
      <c r="M48" s="39">
        <f>+L48*100/$C48</f>
        <v>44.335750237416903</v>
      </c>
      <c r="N48" s="39">
        <f t="shared" ref="N48:N65" si="51">+C48-L48</f>
        <v>6799276.7800000003</v>
      </c>
      <c r="O48" s="39">
        <f>+N48*100/$C48</f>
        <v>55.664249762583097</v>
      </c>
      <c r="P48" s="39">
        <f t="shared" ref="P48:P65" si="52">+B48-L48</f>
        <v>19014076.780000001</v>
      </c>
      <c r="Q48" s="39">
        <f t="shared" ref="Q48:Q72" si="53">+P48*100/B48</f>
        <v>77.832124881291548</v>
      </c>
    </row>
    <row r="49" spans="1:17" s="37" customFormat="1">
      <c r="A49" s="46" t="s">
        <v>135</v>
      </c>
      <c r="B49" s="42">
        <f>SUM(B47:B48)</f>
        <v>392661000</v>
      </c>
      <c r="C49" s="42">
        <f>SUM(C47:C48)</f>
        <v>196330500</v>
      </c>
      <c r="D49" s="42">
        <f t="shared" ref="D49:L49" si="54">SUM(D47:D48)</f>
        <v>0</v>
      </c>
      <c r="E49" s="42">
        <f t="shared" ref="E49:G64" si="55">+D49*100/$C49</f>
        <v>0</v>
      </c>
      <c r="F49" s="42">
        <f t="shared" si="54"/>
        <v>28800</v>
      </c>
      <c r="G49" s="42">
        <f t="shared" si="55"/>
        <v>1.4669142084393409E-2</v>
      </c>
      <c r="H49" s="42">
        <f t="shared" si="54"/>
        <v>0</v>
      </c>
      <c r="I49" s="42">
        <f t="shared" ref="I49" si="56">+H49*100/$C49</f>
        <v>0</v>
      </c>
      <c r="J49" s="42">
        <f t="shared" si="54"/>
        <v>100057025.33</v>
      </c>
      <c r="K49" s="42">
        <f t="shared" ref="K49" si="57">+J49*100/$C49</f>
        <v>50.963566705122233</v>
      </c>
      <c r="L49" s="42">
        <f t="shared" si="54"/>
        <v>100085825.33</v>
      </c>
      <c r="M49" s="42">
        <f t="shared" ref="M49" si="58">+L49*100/$C49</f>
        <v>50.978235847206626</v>
      </c>
      <c r="N49" s="42">
        <f>SUM(N47:N48)</f>
        <v>96244674.670000002</v>
      </c>
      <c r="O49" s="42">
        <f t="shared" ref="O49" si="59">+N49*100/$C49</f>
        <v>49.021764152793374</v>
      </c>
      <c r="P49" s="42">
        <f>SUM(P47:P48)</f>
        <v>292575174.66999996</v>
      </c>
      <c r="Q49" s="42">
        <f t="shared" si="53"/>
        <v>74.510882076396683</v>
      </c>
    </row>
    <row r="50" spans="1:17">
      <c r="A50" s="44" t="s">
        <v>136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>
      <c r="A51" s="45" t="s">
        <v>134</v>
      </c>
      <c r="B51" s="39">
        <f>+งบดำเนินงาน!C131</f>
        <v>163708080</v>
      </c>
      <c r="C51" s="39">
        <f>+งบดำเนินงาน!D131</f>
        <v>81417380</v>
      </c>
      <c r="D51" s="39">
        <f>+งบดำเนินงาน!E131</f>
        <v>302249</v>
      </c>
      <c r="E51" s="39">
        <f t="shared" si="55"/>
        <v>0.3712340043366662</v>
      </c>
      <c r="F51" s="39">
        <f>+งบดำเนินงาน!G131</f>
        <v>1024855.53</v>
      </c>
      <c r="G51" s="39">
        <f t="shared" si="55"/>
        <v>1.2587675137667167</v>
      </c>
      <c r="H51" s="39">
        <f>+งบดำเนินงาน!I131</f>
        <v>937010.85000000009</v>
      </c>
      <c r="I51" s="39">
        <f t="shared" ref="I51:I54" si="60">+H51*100/$C51</f>
        <v>1.1508732533520487</v>
      </c>
      <c r="J51" s="39">
        <f>+งบดำเนินงาน!K131</f>
        <v>24309971.240000002</v>
      </c>
      <c r="K51" s="39">
        <f t="shared" ref="K51:K54" si="61">+J51*100/$C51</f>
        <v>29.858454349673252</v>
      </c>
      <c r="L51" s="39">
        <f>+D51+F51+H51+J51</f>
        <v>26574086.620000001</v>
      </c>
      <c r="M51" s="39">
        <f t="shared" ref="M51:M54" si="62">+L51*100/$C51</f>
        <v>32.639329121128682</v>
      </c>
      <c r="N51" s="39">
        <f t="shared" si="51"/>
        <v>54843293.379999995</v>
      </c>
      <c r="O51" s="39">
        <f t="shared" ref="O51:O54" si="63">+N51*100/$C51</f>
        <v>67.360670878871318</v>
      </c>
      <c r="P51" s="39">
        <f t="shared" si="52"/>
        <v>137133993.38</v>
      </c>
      <c r="Q51" s="39">
        <f t="shared" si="53"/>
        <v>83.767394608745036</v>
      </c>
    </row>
    <row r="52" spans="1:17">
      <c r="A52" s="45" t="s">
        <v>137</v>
      </c>
      <c r="B52" s="39">
        <f>+งบลงทุน!E94</f>
        <v>160358300</v>
      </c>
      <c r="C52" s="39">
        <f>+งบลงทุน!E94</f>
        <v>160358300</v>
      </c>
      <c r="D52" s="39">
        <f>+งบลงทุน!F94</f>
        <v>337500</v>
      </c>
      <c r="E52" s="39">
        <f t="shared" si="55"/>
        <v>0.2104661872818557</v>
      </c>
      <c r="F52" s="39">
        <f>+งบลงทุน!G94</f>
        <v>0</v>
      </c>
      <c r="G52" s="39">
        <f t="shared" si="55"/>
        <v>0</v>
      </c>
      <c r="H52" s="39">
        <f>+งบลงทุน!H94</f>
        <v>0</v>
      </c>
      <c r="I52" s="39">
        <f t="shared" si="60"/>
        <v>0</v>
      </c>
      <c r="J52" s="39">
        <f>+งบลงทุน!I94</f>
        <v>935227.4</v>
      </c>
      <c r="K52" s="39">
        <f t="shared" si="61"/>
        <v>0.58321109665043847</v>
      </c>
      <c r="L52" s="39">
        <f t="shared" ref="L52:L53" si="64">+D52+F52+H52+J52</f>
        <v>1272727.3999999999</v>
      </c>
      <c r="M52" s="39">
        <f t="shared" si="62"/>
        <v>0.79367728393229398</v>
      </c>
      <c r="N52" s="39">
        <f t="shared" si="51"/>
        <v>159085572.59999999</v>
      </c>
      <c r="O52" s="39">
        <f t="shared" si="63"/>
        <v>99.206322716067703</v>
      </c>
      <c r="P52" s="39">
        <f t="shared" si="52"/>
        <v>159085572.59999999</v>
      </c>
      <c r="Q52" s="39">
        <f t="shared" si="53"/>
        <v>99.206322716067703</v>
      </c>
    </row>
    <row r="53" spans="1:17">
      <c r="A53" s="45" t="s">
        <v>138</v>
      </c>
      <c r="B53" s="39">
        <f>+ต่างประเทศ!D71+รวมรายจ่ายอื่น!C42</f>
        <v>4015000</v>
      </c>
      <c r="C53" s="39">
        <f>+ต่างประเทศ!E71+รวมรายจ่ายอื่น!D42</f>
        <v>2015000</v>
      </c>
      <c r="D53" s="39">
        <f>+รวมรายจ่ายอื่น!E42</f>
        <v>0</v>
      </c>
      <c r="E53" s="39">
        <f t="shared" si="55"/>
        <v>0</v>
      </c>
      <c r="F53" s="39">
        <f>+ต่างประเทศ!F71+ต่างประเทศ!G71+รวมรายจ่ายอื่น!G42</f>
        <v>1000</v>
      </c>
      <c r="G53" s="39">
        <f t="shared" si="55"/>
        <v>4.9627791563275438E-2</v>
      </c>
      <c r="H53" s="39">
        <f>+รวมรายจ่ายอื่น!I42</f>
        <v>0</v>
      </c>
      <c r="I53" s="39">
        <f t="shared" si="60"/>
        <v>0</v>
      </c>
      <c r="J53" s="39">
        <f>+ต่างประเทศ!H71+รวมรายจ่ายอื่น!K42</f>
        <v>242461.49999999997</v>
      </c>
      <c r="K53" s="39">
        <f t="shared" si="61"/>
        <v>12.032828784119104</v>
      </c>
      <c r="L53" s="39">
        <f t="shared" si="64"/>
        <v>243461.49999999997</v>
      </c>
      <c r="M53" s="39">
        <f t="shared" si="62"/>
        <v>12.082456575682381</v>
      </c>
      <c r="N53" s="39">
        <f t="shared" si="51"/>
        <v>1771538.5</v>
      </c>
      <c r="O53" s="39">
        <f t="shared" si="63"/>
        <v>87.917543424317614</v>
      </c>
      <c r="P53" s="39">
        <f t="shared" si="52"/>
        <v>3771538.5</v>
      </c>
      <c r="Q53" s="39">
        <f t="shared" si="53"/>
        <v>93.936201743462021</v>
      </c>
    </row>
    <row r="54" spans="1:17" s="37" customFormat="1">
      <c r="A54" s="46" t="s">
        <v>135</v>
      </c>
      <c r="B54" s="42">
        <f>SUM(B51:B53)</f>
        <v>328081380</v>
      </c>
      <c r="C54" s="42">
        <f>SUM(C51:C53)</f>
        <v>243790680</v>
      </c>
      <c r="D54" s="42">
        <f t="shared" ref="D54:L54" si="65">SUM(D51:D53)</f>
        <v>639749</v>
      </c>
      <c r="E54" s="42">
        <f t="shared" si="55"/>
        <v>0.26241733277088364</v>
      </c>
      <c r="F54" s="42">
        <f t="shared" si="65"/>
        <v>1025855.53</v>
      </c>
      <c r="G54" s="42">
        <f t="shared" si="55"/>
        <v>0.42079357996786426</v>
      </c>
      <c r="H54" s="42">
        <f t="shared" si="65"/>
        <v>937010.85000000009</v>
      </c>
      <c r="I54" s="42">
        <f t="shared" si="60"/>
        <v>0.38435056253996264</v>
      </c>
      <c r="J54" s="42">
        <f t="shared" si="65"/>
        <v>25487660.140000001</v>
      </c>
      <c r="K54" s="42">
        <f t="shared" si="61"/>
        <v>10.454731140665427</v>
      </c>
      <c r="L54" s="42">
        <f t="shared" si="65"/>
        <v>28090275.52</v>
      </c>
      <c r="M54" s="42">
        <f t="shared" si="62"/>
        <v>11.522292615944137</v>
      </c>
      <c r="N54" s="42">
        <f>SUM(N51:N53)</f>
        <v>215700404.47999999</v>
      </c>
      <c r="O54" s="42">
        <f t="shared" si="63"/>
        <v>88.477707384055861</v>
      </c>
      <c r="P54" s="42">
        <f>SUM(P51:P53)</f>
        <v>299991104.48000002</v>
      </c>
      <c r="Q54" s="42">
        <f t="shared" si="53"/>
        <v>91.438015921537513</v>
      </c>
    </row>
    <row r="55" spans="1:17">
      <c r="A55" s="44" t="s">
        <v>139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1:17">
      <c r="A56" s="45" t="s">
        <v>134</v>
      </c>
      <c r="B56" s="39">
        <f>+งบดำเนินงาน!C137</f>
        <v>15069400</v>
      </c>
      <c r="C56" s="39">
        <f>+งบดำเนินงาน!D137</f>
        <v>7534700</v>
      </c>
      <c r="D56" s="39">
        <f>+งบดำเนินงาน!E137</f>
        <v>0</v>
      </c>
      <c r="E56" s="39">
        <f t="shared" si="55"/>
        <v>0</v>
      </c>
      <c r="F56" s="39">
        <f>+งบดำเนินงาน!G137</f>
        <v>509729.58999999997</v>
      </c>
      <c r="G56" s="39">
        <f t="shared" si="55"/>
        <v>6.7650946952101609</v>
      </c>
      <c r="H56" s="39">
        <f>+งบดำเนินงาน!I137</f>
        <v>85600</v>
      </c>
      <c r="I56" s="39">
        <f t="shared" ref="I56:I58" si="66">+H56*100/$C56</f>
        <v>1.1360770833609832</v>
      </c>
      <c r="J56" s="39">
        <f>+งบดำเนินงาน!K137</f>
        <v>1209932.1500000001</v>
      </c>
      <c r="K56" s="39">
        <f t="shared" ref="K56:K58" si="67">+J56*100/$C56</f>
        <v>16.058133037811725</v>
      </c>
      <c r="L56" s="39">
        <f>+D56+F56+H56+J56</f>
        <v>1805261.7400000002</v>
      </c>
      <c r="M56" s="39">
        <f t="shared" ref="M56:M58" si="68">+L56*100/$C56</f>
        <v>23.959304816382872</v>
      </c>
      <c r="N56" s="39">
        <f t="shared" si="51"/>
        <v>5729438.2599999998</v>
      </c>
      <c r="O56" s="39">
        <f t="shared" ref="O56:O58" si="69">+N56*100/$C56</f>
        <v>76.040695183617132</v>
      </c>
      <c r="P56" s="39">
        <f t="shared" si="52"/>
        <v>13264138.26</v>
      </c>
      <c r="Q56" s="39">
        <f t="shared" si="53"/>
        <v>88.020347591808559</v>
      </c>
    </row>
    <row r="57" spans="1:17">
      <c r="A57" s="45" t="s">
        <v>137</v>
      </c>
      <c r="B57" s="39">
        <f>+งบลงทุน!E109</f>
        <v>2375300</v>
      </c>
      <c r="C57" s="39">
        <f>+งบลงทุน!E109</f>
        <v>2375300</v>
      </c>
      <c r="D57" s="39">
        <f>+งบลงทุน!F109</f>
        <v>1070863.73</v>
      </c>
      <c r="E57" s="39">
        <f t="shared" si="55"/>
        <v>45.083304424704245</v>
      </c>
      <c r="F57" s="39">
        <f>+งบลงทุน!G109</f>
        <v>0</v>
      </c>
      <c r="G57" s="39">
        <f t="shared" si="55"/>
        <v>0</v>
      </c>
      <c r="H57" s="39">
        <f>+งบลงทุน!H109</f>
        <v>0</v>
      </c>
      <c r="I57" s="39">
        <f t="shared" si="66"/>
        <v>0</v>
      </c>
      <c r="J57" s="39">
        <f>+งบลงทุน!I109</f>
        <v>189900</v>
      </c>
      <c r="K57" s="39">
        <f t="shared" si="67"/>
        <v>7.9947796067865111</v>
      </c>
      <c r="L57" s="39">
        <f>+D57+F57+H57+J57</f>
        <v>1260763.73</v>
      </c>
      <c r="M57" s="39">
        <f t="shared" si="68"/>
        <v>53.078084031490761</v>
      </c>
      <c r="N57" s="39">
        <f t="shared" si="51"/>
        <v>1114536.27</v>
      </c>
      <c r="O57" s="39">
        <f t="shared" si="69"/>
        <v>46.921915968509239</v>
      </c>
      <c r="P57" s="39">
        <f t="shared" si="52"/>
        <v>1114536.27</v>
      </c>
      <c r="Q57" s="39">
        <f t="shared" si="53"/>
        <v>46.921915968509239</v>
      </c>
    </row>
    <row r="58" spans="1:17" s="37" customFormat="1">
      <c r="A58" s="46" t="s">
        <v>135</v>
      </c>
      <c r="B58" s="42">
        <f>SUM(B56:B57)</f>
        <v>17444700</v>
      </c>
      <c r="C58" s="42">
        <f>SUM(C56:C57)</f>
        <v>9910000</v>
      </c>
      <c r="D58" s="42">
        <f t="shared" ref="D58:L58" si="70">SUM(D56:D57)</f>
        <v>1070863.73</v>
      </c>
      <c r="E58" s="42">
        <f t="shared" si="55"/>
        <v>10.805890312815338</v>
      </c>
      <c r="F58" s="42">
        <f t="shared" si="70"/>
        <v>509729.58999999997</v>
      </c>
      <c r="G58" s="42">
        <f t="shared" si="55"/>
        <v>5.1435881937436934</v>
      </c>
      <c r="H58" s="42">
        <f t="shared" si="70"/>
        <v>85600</v>
      </c>
      <c r="I58" s="42">
        <f t="shared" si="66"/>
        <v>0.863773965691221</v>
      </c>
      <c r="J58" s="42">
        <f t="shared" si="70"/>
        <v>1399832.1500000001</v>
      </c>
      <c r="K58" s="42">
        <f t="shared" si="67"/>
        <v>14.125450554994954</v>
      </c>
      <c r="L58" s="42">
        <f t="shared" si="70"/>
        <v>3066025.47</v>
      </c>
      <c r="M58" s="42">
        <f t="shared" si="68"/>
        <v>30.938703027245207</v>
      </c>
      <c r="N58" s="42">
        <f>SUM(N56:N57)</f>
        <v>6843974.5299999993</v>
      </c>
      <c r="O58" s="42">
        <f t="shared" si="69"/>
        <v>69.061296972754775</v>
      </c>
      <c r="P58" s="42">
        <f>SUM(P56:P57)</f>
        <v>14378674.529999999</v>
      </c>
      <c r="Q58" s="42">
        <f t="shared" si="53"/>
        <v>82.424315293470229</v>
      </c>
    </row>
    <row r="59" spans="1:17">
      <c r="A59" s="44" t="s">
        <v>142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>
      <c r="A60" s="45" t="s">
        <v>134</v>
      </c>
      <c r="B60" s="39">
        <f>+งบดำเนินงาน!C144</f>
        <v>70479700</v>
      </c>
      <c r="C60" s="39">
        <f>+งบดำเนินงาน!D144</f>
        <v>35039800</v>
      </c>
      <c r="D60" s="39">
        <f>+งบดำเนินงาน!E144</f>
        <v>0</v>
      </c>
      <c r="E60" s="39">
        <f t="shared" si="55"/>
        <v>0</v>
      </c>
      <c r="F60" s="39">
        <f>+งบดำเนินงาน!G144</f>
        <v>65700</v>
      </c>
      <c r="G60" s="39">
        <f t="shared" si="55"/>
        <v>0.18750107021158796</v>
      </c>
      <c r="H60" s="39">
        <f>+งบดำเนินงาน!I144</f>
        <v>132680</v>
      </c>
      <c r="I60" s="39">
        <f t="shared" ref="I60:I62" si="71">+H60*100/$C60</f>
        <v>0.37865512931009881</v>
      </c>
      <c r="J60" s="39">
        <f>+งบดำเนินงาน!K144</f>
        <v>2374177.0299999998</v>
      </c>
      <c r="K60" s="39">
        <f t="shared" ref="K60:K62" si="72">+J60*100/$C60</f>
        <v>6.7756580517012077</v>
      </c>
      <c r="L60" s="39">
        <f>+D60+F60+H60+J60</f>
        <v>2572557.0299999998</v>
      </c>
      <c r="M60" s="39">
        <f t="shared" ref="M60:M62" si="73">+L60*100/$C60</f>
        <v>7.3418142512228943</v>
      </c>
      <c r="N60" s="39">
        <f t="shared" si="51"/>
        <v>32467242.969999999</v>
      </c>
      <c r="O60" s="39">
        <f t="shared" ref="O60:O62" si="74">+N60*100/$C60</f>
        <v>92.6581857487771</v>
      </c>
      <c r="P60" s="39">
        <f t="shared" si="52"/>
        <v>67907142.969999999</v>
      </c>
      <c r="Q60" s="39">
        <f t="shared" si="53"/>
        <v>96.349931923660293</v>
      </c>
    </row>
    <row r="61" spans="1:17">
      <c r="A61" s="45" t="s">
        <v>137</v>
      </c>
      <c r="B61" s="39">
        <f>+งบลงทุน!E114</f>
        <v>58911700</v>
      </c>
      <c r="C61" s="39">
        <f>+งบลงทุน!E114</f>
        <v>58911700</v>
      </c>
      <c r="D61" s="39">
        <f>+งบลงทุน!F114</f>
        <v>0</v>
      </c>
      <c r="E61" s="39">
        <f t="shared" si="55"/>
        <v>0</v>
      </c>
      <c r="F61" s="39">
        <f>+งบลงทุน!G114</f>
        <v>0</v>
      </c>
      <c r="G61" s="39">
        <f t="shared" si="55"/>
        <v>0</v>
      </c>
      <c r="H61" s="39">
        <f>+งบลงทุน!H114</f>
        <v>0</v>
      </c>
      <c r="I61" s="39">
        <f t="shared" si="71"/>
        <v>0</v>
      </c>
      <c r="J61" s="39">
        <f>+งบลงทุน!I114</f>
        <v>0</v>
      </c>
      <c r="K61" s="39">
        <f t="shared" si="72"/>
        <v>0</v>
      </c>
      <c r="L61" s="39">
        <f>+D61+F61+H61+J61</f>
        <v>0</v>
      </c>
      <c r="M61" s="39">
        <f t="shared" si="73"/>
        <v>0</v>
      </c>
      <c r="N61" s="39">
        <f t="shared" si="51"/>
        <v>58911700</v>
      </c>
      <c r="O61" s="39">
        <f t="shared" si="74"/>
        <v>100</v>
      </c>
      <c r="P61" s="39">
        <f t="shared" si="52"/>
        <v>58911700</v>
      </c>
      <c r="Q61" s="39">
        <f t="shared" si="53"/>
        <v>100</v>
      </c>
    </row>
    <row r="62" spans="1:17" s="37" customFormat="1">
      <c r="A62" s="46" t="s">
        <v>135</v>
      </c>
      <c r="B62" s="42">
        <f>SUM(B60:B61)</f>
        <v>129391400</v>
      </c>
      <c r="C62" s="42">
        <f>SUM(C60:C61)</f>
        <v>93951500</v>
      </c>
      <c r="D62" s="42">
        <f t="shared" ref="D62:L62" si="75">SUM(D60:D61)</f>
        <v>0</v>
      </c>
      <c r="E62" s="42">
        <f t="shared" si="55"/>
        <v>0</v>
      </c>
      <c r="F62" s="42">
        <f t="shared" si="75"/>
        <v>65700</v>
      </c>
      <c r="G62" s="42">
        <f t="shared" si="55"/>
        <v>6.9929697769593888E-2</v>
      </c>
      <c r="H62" s="42">
        <f t="shared" si="75"/>
        <v>132680</v>
      </c>
      <c r="I62" s="42">
        <f t="shared" si="71"/>
        <v>0.14122180060988915</v>
      </c>
      <c r="J62" s="42">
        <f t="shared" si="75"/>
        <v>2374177.0299999998</v>
      </c>
      <c r="K62" s="42">
        <f t="shared" si="72"/>
        <v>2.5270240815740035</v>
      </c>
      <c r="L62" s="42">
        <f t="shared" si="75"/>
        <v>2572557.0299999998</v>
      </c>
      <c r="M62" s="42">
        <f t="shared" si="73"/>
        <v>2.7381755799534861</v>
      </c>
      <c r="N62" s="42">
        <f>SUM(N60:N61)</f>
        <v>91378942.969999999</v>
      </c>
      <c r="O62" s="42">
        <f t="shared" si="74"/>
        <v>97.261824420046509</v>
      </c>
      <c r="P62" s="42">
        <f>SUM(P60:P61)</f>
        <v>126818842.97</v>
      </c>
      <c r="Q62" s="42">
        <f t="shared" si="53"/>
        <v>98.011802152229592</v>
      </c>
    </row>
    <row r="63" spans="1:17">
      <c r="A63" s="44" t="s">
        <v>143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1:17">
      <c r="A64" s="45" t="s">
        <v>137</v>
      </c>
      <c r="B64" s="39">
        <f>+งบลงทุน!E120</f>
        <v>8500000</v>
      </c>
      <c r="C64" s="39">
        <f>+งบลงทุน!E120</f>
        <v>8500000</v>
      </c>
      <c r="D64" s="39">
        <f>+งบลงทุน!F120</f>
        <v>0</v>
      </c>
      <c r="E64" s="39">
        <f t="shared" si="55"/>
        <v>0</v>
      </c>
      <c r="F64" s="39">
        <f>+งบลงทุน!G120</f>
        <v>0</v>
      </c>
      <c r="G64" s="39">
        <f t="shared" si="55"/>
        <v>0</v>
      </c>
      <c r="H64" s="39">
        <f>+งบลงทุน!H120</f>
        <v>0</v>
      </c>
      <c r="I64" s="39">
        <f t="shared" ref="I64:I66" si="76">+H64*100/$C64</f>
        <v>0</v>
      </c>
      <c r="J64" s="39">
        <f>+งบลงทุน!I120</f>
        <v>0</v>
      </c>
      <c r="K64" s="39">
        <f t="shared" ref="K64:K66" si="77">+J64*100/$C64</f>
        <v>0</v>
      </c>
      <c r="L64" s="39">
        <f>+D64+F64+H64+J64</f>
        <v>0</v>
      </c>
      <c r="M64" s="39">
        <f t="shared" ref="M64:M66" si="78">+L64*100/$C64</f>
        <v>0</v>
      </c>
      <c r="N64" s="39">
        <f t="shared" si="51"/>
        <v>8500000</v>
      </c>
      <c r="O64" s="39">
        <f t="shared" ref="O64:O66" si="79">+N64*100/$C64</f>
        <v>100</v>
      </c>
      <c r="P64" s="39">
        <f t="shared" si="52"/>
        <v>8500000</v>
      </c>
      <c r="Q64" s="39">
        <f t="shared" si="53"/>
        <v>100</v>
      </c>
    </row>
    <row r="65" spans="1:19">
      <c r="A65" s="45" t="s">
        <v>138</v>
      </c>
      <c r="B65" s="39">
        <f>+ยาเสพติด!C10</f>
        <v>18583136</v>
      </c>
      <c r="C65" s="39">
        <f>+ยาเสพติด!D10</f>
        <v>8233136</v>
      </c>
      <c r="D65" s="39">
        <f>+ยาเสพติด!E10</f>
        <v>0</v>
      </c>
      <c r="E65" s="39">
        <f t="shared" ref="E65:G72" si="80">+D65*100/$C65</f>
        <v>0</v>
      </c>
      <c r="F65" s="39">
        <f>+ยาเสพติด!G10</f>
        <v>47306.5</v>
      </c>
      <c r="G65" s="39">
        <f t="shared" si="80"/>
        <v>0.57458664596333642</v>
      </c>
      <c r="H65" s="39">
        <f>+ยาเสพติด!I10</f>
        <v>0</v>
      </c>
      <c r="I65" s="39">
        <f t="shared" si="76"/>
        <v>0</v>
      </c>
      <c r="J65" s="39">
        <f>+ยาเสพติด!K10</f>
        <v>2971952</v>
      </c>
      <c r="K65" s="39">
        <f t="shared" si="77"/>
        <v>36.097448165559271</v>
      </c>
      <c r="L65" s="39">
        <f>+D65+F65+H65+J65</f>
        <v>3019258.5</v>
      </c>
      <c r="M65" s="39">
        <f t="shared" si="78"/>
        <v>36.672034811522607</v>
      </c>
      <c r="N65" s="39">
        <f t="shared" si="51"/>
        <v>5213877.5</v>
      </c>
      <c r="O65" s="39">
        <f t="shared" si="79"/>
        <v>63.327965188477393</v>
      </c>
      <c r="P65" s="39">
        <f t="shared" si="52"/>
        <v>15563877.5</v>
      </c>
      <c r="Q65" s="39">
        <f t="shared" si="53"/>
        <v>83.752696530876165</v>
      </c>
    </row>
    <row r="66" spans="1:19" s="37" customFormat="1">
      <c r="A66" s="46" t="s">
        <v>135</v>
      </c>
      <c r="B66" s="42">
        <f>SUM(B64:B65)</f>
        <v>27083136</v>
      </c>
      <c r="C66" s="42">
        <f>SUM(C64:C65)</f>
        <v>16733136</v>
      </c>
      <c r="D66" s="42">
        <f t="shared" ref="D66:P66" si="81">SUM(D64:D65)</f>
        <v>0</v>
      </c>
      <c r="E66" s="42">
        <f t="shared" si="80"/>
        <v>0</v>
      </c>
      <c r="F66" s="42">
        <f t="shared" si="81"/>
        <v>47306.5</v>
      </c>
      <c r="G66" s="42">
        <f t="shared" si="80"/>
        <v>0.28271150129897948</v>
      </c>
      <c r="H66" s="42">
        <f t="shared" si="81"/>
        <v>0</v>
      </c>
      <c r="I66" s="42">
        <f t="shared" si="76"/>
        <v>0</v>
      </c>
      <c r="J66" s="42">
        <f t="shared" si="81"/>
        <v>2971952</v>
      </c>
      <c r="K66" s="42">
        <f t="shared" si="77"/>
        <v>17.760878773709841</v>
      </c>
      <c r="L66" s="42">
        <f t="shared" si="81"/>
        <v>3019258.5</v>
      </c>
      <c r="M66" s="42">
        <f t="shared" si="78"/>
        <v>18.043590275008821</v>
      </c>
      <c r="N66" s="42">
        <f t="shared" si="81"/>
        <v>13713877.5</v>
      </c>
      <c r="O66" s="42">
        <f t="shared" si="79"/>
        <v>81.956409724991175</v>
      </c>
      <c r="P66" s="42">
        <f t="shared" si="81"/>
        <v>24063877.5</v>
      </c>
      <c r="Q66" s="42">
        <f t="shared" si="53"/>
        <v>88.851887388521035</v>
      </c>
    </row>
    <row r="67" spans="1:19">
      <c r="A67" s="46" t="s">
        <v>144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1:19" s="37" customFormat="1">
      <c r="A68" s="44" t="s">
        <v>133</v>
      </c>
      <c r="B68" s="42">
        <f>+B47</f>
        <v>368231400</v>
      </c>
      <c r="C68" s="42">
        <f>+C47</f>
        <v>184115700</v>
      </c>
      <c r="D68" s="42">
        <f t="shared" ref="D68:P68" si="82">+D47</f>
        <v>0</v>
      </c>
      <c r="E68" s="42">
        <f t="shared" si="80"/>
        <v>0</v>
      </c>
      <c r="F68" s="42">
        <f t="shared" si="82"/>
        <v>0</v>
      </c>
      <c r="G68" s="42">
        <f t="shared" si="80"/>
        <v>0</v>
      </c>
      <c r="H68" s="42">
        <f t="shared" si="82"/>
        <v>0</v>
      </c>
      <c r="I68" s="42">
        <f t="shared" ref="I68:I72" si="83">+H68*100/$C68</f>
        <v>0</v>
      </c>
      <c r="J68" s="42">
        <f t="shared" si="82"/>
        <v>94670302.109999999</v>
      </c>
      <c r="K68" s="42">
        <f t="shared" ref="K68:K72" si="84">+J68*100/$C68</f>
        <v>51.418918707095592</v>
      </c>
      <c r="L68" s="42">
        <f t="shared" si="82"/>
        <v>94670302.109999999</v>
      </c>
      <c r="M68" s="42">
        <f t="shared" ref="M68:M72" si="85">+L68*100/$C68</f>
        <v>51.418918707095592</v>
      </c>
      <c r="N68" s="42">
        <f t="shared" si="82"/>
        <v>89445397.890000001</v>
      </c>
      <c r="O68" s="42">
        <f t="shared" ref="O68:O72" si="86">+N68*100/$C68</f>
        <v>48.581081292904408</v>
      </c>
      <c r="P68" s="42">
        <f t="shared" si="82"/>
        <v>273561097.88999999</v>
      </c>
      <c r="Q68" s="42">
        <f t="shared" si="53"/>
        <v>74.2905406464522</v>
      </c>
    </row>
    <row r="69" spans="1:19" s="37" customFormat="1">
      <c r="A69" s="44" t="s">
        <v>134</v>
      </c>
      <c r="B69" s="42">
        <f>+B48+B51+B56+B60</f>
        <v>273686780</v>
      </c>
      <c r="C69" s="42">
        <f>+C48+C51+C56+C60</f>
        <v>136206680</v>
      </c>
      <c r="D69" s="42">
        <f t="shared" ref="D69:P69" si="87">+D48+D51+D56+D60</f>
        <v>302249</v>
      </c>
      <c r="E69" s="42">
        <f t="shared" si="80"/>
        <v>0.22190468191427909</v>
      </c>
      <c r="F69" s="42">
        <f t="shared" si="87"/>
        <v>1629085.12</v>
      </c>
      <c r="G69" s="42">
        <f t="shared" si="80"/>
        <v>1.1960390782595978</v>
      </c>
      <c r="H69" s="42">
        <f t="shared" si="87"/>
        <v>1155290.8500000001</v>
      </c>
      <c r="I69" s="42">
        <f t="shared" si="83"/>
        <v>0.84818956750138841</v>
      </c>
      <c r="J69" s="42">
        <f t="shared" si="87"/>
        <v>33280803.640000001</v>
      </c>
      <c r="K69" s="42">
        <f t="shared" si="84"/>
        <v>24.434046582737352</v>
      </c>
      <c r="L69" s="42">
        <f t="shared" si="87"/>
        <v>36367428.609999999</v>
      </c>
      <c r="M69" s="42">
        <f t="shared" si="85"/>
        <v>26.700179910412619</v>
      </c>
      <c r="N69" s="42">
        <f t="shared" si="87"/>
        <v>99839251.390000001</v>
      </c>
      <c r="O69" s="42">
        <f t="shared" si="86"/>
        <v>73.299820089587385</v>
      </c>
      <c r="P69" s="42">
        <f t="shared" si="87"/>
        <v>237319351.38999999</v>
      </c>
      <c r="Q69" s="42">
        <f t="shared" si="53"/>
        <v>86.712025838442031</v>
      </c>
    </row>
    <row r="70" spans="1:19" s="37" customFormat="1">
      <c r="A70" s="44" t="s">
        <v>137</v>
      </c>
      <c r="B70" s="42">
        <f>+B52+B57+B61+B64</f>
        <v>230145300</v>
      </c>
      <c r="C70" s="42">
        <f>+C52+C57+C61+C64</f>
        <v>230145300</v>
      </c>
      <c r="D70" s="42">
        <f t="shared" ref="D70:P70" si="88">+D52+D57+D61+D64</f>
        <v>1408363.73</v>
      </c>
      <c r="E70" s="42">
        <f t="shared" si="80"/>
        <v>0.61194546662478011</v>
      </c>
      <c r="F70" s="42">
        <f t="shared" si="88"/>
        <v>0</v>
      </c>
      <c r="G70" s="42">
        <f t="shared" si="80"/>
        <v>0</v>
      </c>
      <c r="H70" s="42">
        <f t="shared" si="88"/>
        <v>0</v>
      </c>
      <c r="I70" s="42">
        <f t="shared" si="83"/>
        <v>0</v>
      </c>
      <c r="J70" s="42">
        <f t="shared" si="88"/>
        <v>1125127.3999999999</v>
      </c>
      <c r="K70" s="42">
        <f t="shared" si="84"/>
        <v>0.48887698336659485</v>
      </c>
      <c r="L70" s="42">
        <f t="shared" si="88"/>
        <v>2533491.13</v>
      </c>
      <c r="M70" s="42">
        <f t="shared" si="85"/>
        <v>1.100822449991375</v>
      </c>
      <c r="N70" s="42">
        <f t="shared" si="88"/>
        <v>227611808.87</v>
      </c>
      <c r="O70" s="42">
        <f t="shared" si="86"/>
        <v>98.899177550008631</v>
      </c>
      <c r="P70" s="42">
        <f t="shared" si="88"/>
        <v>227611808.87</v>
      </c>
      <c r="Q70" s="42">
        <f t="shared" si="53"/>
        <v>98.899177550008631</v>
      </c>
    </row>
    <row r="71" spans="1:19" s="37" customFormat="1">
      <c r="A71" s="44" t="s">
        <v>138</v>
      </c>
      <c r="B71" s="42">
        <f>+B53+B65</f>
        <v>22598136</v>
      </c>
      <c r="C71" s="42">
        <f>+C53+C65</f>
        <v>10248136</v>
      </c>
      <c r="D71" s="42">
        <f t="shared" ref="D71:P71" si="89">+D53+D65</f>
        <v>0</v>
      </c>
      <c r="E71" s="42">
        <f t="shared" si="80"/>
        <v>0</v>
      </c>
      <c r="F71" s="42">
        <f t="shared" si="89"/>
        <v>48306.5</v>
      </c>
      <c r="G71" s="42">
        <f t="shared" si="80"/>
        <v>0.47136864694223418</v>
      </c>
      <c r="H71" s="42">
        <f t="shared" si="89"/>
        <v>0</v>
      </c>
      <c r="I71" s="42">
        <f t="shared" si="83"/>
        <v>0</v>
      </c>
      <c r="J71" s="42">
        <f t="shared" si="89"/>
        <v>3214413.5</v>
      </c>
      <c r="K71" s="42">
        <f t="shared" si="84"/>
        <v>31.365835699292045</v>
      </c>
      <c r="L71" s="42">
        <f t="shared" si="89"/>
        <v>3262720</v>
      </c>
      <c r="M71" s="42">
        <f t="shared" si="85"/>
        <v>31.83720434623428</v>
      </c>
      <c r="N71" s="42">
        <f t="shared" si="89"/>
        <v>6985416</v>
      </c>
      <c r="O71" s="42">
        <f t="shared" si="86"/>
        <v>68.162795653765713</v>
      </c>
      <c r="P71" s="42">
        <f t="shared" si="89"/>
        <v>19335416</v>
      </c>
      <c r="Q71" s="42">
        <f t="shared" si="53"/>
        <v>85.561995024722393</v>
      </c>
    </row>
    <row r="72" spans="1:19" s="37" customFormat="1">
      <c r="A72" s="46" t="s">
        <v>144</v>
      </c>
      <c r="B72" s="42">
        <f>SUM(B68:B71)</f>
        <v>894661616</v>
      </c>
      <c r="C72" s="42">
        <f>SUM(C68:C71)</f>
        <v>560715816</v>
      </c>
      <c r="D72" s="42">
        <f t="shared" ref="D72:P72" si="90">SUM(D68:D71)</f>
        <v>1710612.73</v>
      </c>
      <c r="E72" s="42">
        <f t="shared" si="80"/>
        <v>0.30507659694764167</v>
      </c>
      <c r="F72" s="42">
        <f t="shared" si="90"/>
        <v>1677391.62</v>
      </c>
      <c r="G72" s="42">
        <f t="shared" si="80"/>
        <v>0.29915182916830724</v>
      </c>
      <c r="H72" s="42">
        <f t="shared" si="90"/>
        <v>1155290.8500000001</v>
      </c>
      <c r="I72" s="42">
        <f t="shared" si="83"/>
        <v>0.20603857016938509</v>
      </c>
      <c r="J72" s="42">
        <f t="shared" si="90"/>
        <v>132290646.65000001</v>
      </c>
      <c r="K72" s="42">
        <f t="shared" si="84"/>
        <v>23.593171955399239</v>
      </c>
      <c r="L72" s="42">
        <f t="shared" si="90"/>
        <v>136833941.84999999</v>
      </c>
      <c r="M72" s="42">
        <f t="shared" si="85"/>
        <v>24.403438951684574</v>
      </c>
      <c r="N72" s="42">
        <f t="shared" si="90"/>
        <v>423881874.14999998</v>
      </c>
      <c r="O72" s="42">
        <f t="shared" si="86"/>
        <v>75.596561048315422</v>
      </c>
      <c r="P72" s="42">
        <f t="shared" si="90"/>
        <v>757827674.14999998</v>
      </c>
      <c r="Q72" s="42">
        <f t="shared" si="53"/>
        <v>84.705508831173546</v>
      </c>
    </row>
    <row r="73" spans="1:19">
      <c r="C73" s="2"/>
    </row>
    <row r="74" spans="1:19" s="28" customFormat="1">
      <c r="A74" s="47" t="s">
        <v>431</v>
      </c>
      <c r="R74" s="241"/>
      <c r="S74" s="241"/>
    </row>
    <row r="75" spans="1:19" s="28" customFormat="1" ht="21" customHeight="1">
      <c r="A75" s="1023" t="s">
        <v>130</v>
      </c>
      <c r="B75" s="1025" t="s">
        <v>118</v>
      </c>
      <c r="C75" s="1025" t="s">
        <v>131</v>
      </c>
      <c r="D75" s="1027" t="s">
        <v>5</v>
      </c>
      <c r="E75" s="1027"/>
      <c r="F75" s="1028" t="s">
        <v>6</v>
      </c>
      <c r="G75" s="1028"/>
      <c r="H75" s="1017" t="s">
        <v>7</v>
      </c>
      <c r="I75" s="1017"/>
      <c r="J75" s="1018" t="s">
        <v>127</v>
      </c>
      <c r="K75" s="1018"/>
      <c r="L75" s="1019" t="s">
        <v>121</v>
      </c>
      <c r="M75" s="1019"/>
      <c r="N75" s="1020" t="s">
        <v>128</v>
      </c>
      <c r="O75" s="1020"/>
      <c r="P75" s="1020" t="s">
        <v>129</v>
      </c>
      <c r="Q75" s="1020"/>
      <c r="R75" s="241"/>
      <c r="S75" s="241"/>
    </row>
    <row r="76" spans="1:19" s="28" customFormat="1">
      <c r="A76" s="1024"/>
      <c r="B76" s="1026"/>
      <c r="C76" s="1026"/>
      <c r="D76" s="38" t="s">
        <v>119</v>
      </c>
      <c r="E76" s="38" t="s">
        <v>124</v>
      </c>
      <c r="F76" s="38" t="s">
        <v>119</v>
      </c>
      <c r="G76" s="38" t="s">
        <v>124</v>
      </c>
      <c r="H76" s="38" t="s">
        <v>119</v>
      </c>
      <c r="I76" s="38" t="s">
        <v>124</v>
      </c>
      <c r="J76" s="38" t="s">
        <v>119</v>
      </c>
      <c r="K76" s="38" t="s">
        <v>124</v>
      </c>
      <c r="L76" s="38" t="s">
        <v>119</v>
      </c>
      <c r="M76" s="38" t="s">
        <v>124</v>
      </c>
      <c r="N76" s="38" t="s">
        <v>119</v>
      </c>
      <c r="O76" s="38" t="s">
        <v>124</v>
      </c>
      <c r="P76" s="38" t="s">
        <v>119</v>
      </c>
      <c r="Q76" s="38" t="s">
        <v>124</v>
      </c>
      <c r="R76" s="241"/>
      <c r="S76" s="241"/>
    </row>
    <row r="77" spans="1:19" s="28" customFormat="1">
      <c r="A77" s="44" t="s">
        <v>136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241"/>
      <c r="S77" s="241"/>
    </row>
    <row r="78" spans="1:19" s="17" customFormat="1">
      <c r="A78" s="45" t="s">
        <v>134</v>
      </c>
      <c r="B78" s="45">
        <f>-DATA!I27</f>
        <v>858220</v>
      </c>
      <c r="C78" s="45">
        <f>-DATA!I27</f>
        <v>858220</v>
      </c>
      <c r="D78" s="45">
        <f>+'ยอดเบิกตาม GFMIS'!D88</f>
        <v>0</v>
      </c>
      <c r="E78" s="45">
        <f>+'ยอดเบิกตาม GFMIS'!E88</f>
        <v>0</v>
      </c>
      <c r="F78" s="45">
        <f>+'ยอดเบิกตาม GFMIS'!F88</f>
        <v>0</v>
      </c>
      <c r="G78" s="45">
        <f>+'ยอดเบิกตาม GFMIS'!G88</f>
        <v>0</v>
      </c>
      <c r="H78" s="45">
        <f>+'ยอดเบิกตาม GFMIS'!H88</f>
        <v>7800</v>
      </c>
      <c r="I78" s="45">
        <f>+'ยอดเบิกตาม GFMIS'!I88</f>
        <v>0.90885786861177786</v>
      </c>
      <c r="J78" s="45">
        <f>+'ยอดเบิกตาม GFMIS'!J88</f>
        <v>4243.59</v>
      </c>
      <c r="K78" s="45">
        <f>+J78*100/$C78</f>
        <v>0.49446412341823776</v>
      </c>
      <c r="L78" s="45">
        <f>+D78+F78+H78+J78</f>
        <v>12043.59</v>
      </c>
      <c r="M78" s="45">
        <f>+L78*100/$C78</f>
        <v>1.4033219920300155</v>
      </c>
      <c r="N78" s="45">
        <f t="shared" ref="N78" si="91">+C78-L78</f>
        <v>846176.41</v>
      </c>
      <c r="O78" s="45">
        <f>+N78*100/$C78</f>
        <v>98.596678007969984</v>
      </c>
      <c r="P78" s="45">
        <f t="shared" ref="P78" si="92">+B78-L78</f>
        <v>846176.41</v>
      </c>
      <c r="Q78" s="45">
        <f t="shared" ref="Q78" si="93">+P78*100/B78</f>
        <v>98.596678007969984</v>
      </c>
      <c r="R78" s="222"/>
      <c r="S78" s="222"/>
    </row>
    <row r="79" spans="1:19" s="17" customFormat="1">
      <c r="A79" s="44" t="s">
        <v>142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222"/>
      <c r="S79" s="222"/>
    </row>
    <row r="80" spans="1:19" s="17" customFormat="1">
      <c r="A80" s="45" t="s">
        <v>134</v>
      </c>
      <c r="B80" s="45">
        <f>-DATA!I132</f>
        <v>400000</v>
      </c>
      <c r="C80" s="45">
        <f>-DATA!I132</f>
        <v>400000</v>
      </c>
      <c r="D80" s="45"/>
      <c r="E80" s="45"/>
      <c r="F80" s="45"/>
      <c r="G80" s="45"/>
      <c r="H80" s="45"/>
      <c r="I80" s="45"/>
      <c r="J80" s="45"/>
      <c r="K80" s="45">
        <f t="shared" ref="K80" si="94">+J80*100/$C80</f>
        <v>0</v>
      </c>
      <c r="L80" s="45">
        <f t="shared" ref="L80" si="95">+D80+F80+H80+J80</f>
        <v>0</v>
      </c>
      <c r="M80" s="45">
        <f t="shared" ref="M80" si="96">+L80*100/$C80</f>
        <v>0</v>
      </c>
      <c r="N80" s="45">
        <f t="shared" ref="N80" si="97">+C80-L80</f>
        <v>400000</v>
      </c>
      <c r="O80" s="45">
        <f t="shared" ref="O80" si="98">+N80*100/$C80</f>
        <v>100</v>
      </c>
      <c r="P80" s="45">
        <f t="shared" ref="P80" si="99">+B80-L80</f>
        <v>400000</v>
      </c>
      <c r="Q80" s="45">
        <f t="shared" ref="Q80" si="100">+P80*100/B80</f>
        <v>100</v>
      </c>
      <c r="R80" s="222"/>
      <c r="S80" s="222"/>
    </row>
    <row r="81" spans="1:19" s="28" customFormat="1">
      <c r="A81" s="44" t="s">
        <v>143</v>
      </c>
      <c r="B81" s="240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1"/>
      <c r="S81" s="241"/>
    </row>
    <row r="82" spans="1:19" s="17" customFormat="1">
      <c r="A82" s="45" t="s">
        <v>138</v>
      </c>
      <c r="B82" s="45">
        <f>-DATA!I139</f>
        <v>2116864</v>
      </c>
      <c r="C82" s="45">
        <f>-DATA!I139</f>
        <v>2116864</v>
      </c>
      <c r="D82" s="45">
        <f>+'ยอดเบิกตาม GFMIS'!D90</f>
        <v>0</v>
      </c>
      <c r="E82" s="45">
        <f>+'ยอดเบิกตาม GFMIS'!E90</f>
        <v>0</v>
      </c>
      <c r="F82" s="45">
        <f>+'ยอดเบิกตาม GFMIS'!F90</f>
        <v>0</v>
      </c>
      <c r="G82" s="45">
        <f>+'ยอดเบิกตาม GFMIS'!G90</f>
        <v>0</v>
      </c>
      <c r="H82" s="45">
        <f>+'ยอดเบิกตาม GFMIS'!H90</f>
        <v>0</v>
      </c>
      <c r="I82" s="45">
        <f>+'ยอดเบิกตาม GFMIS'!I90</f>
        <v>0</v>
      </c>
      <c r="J82" s="45">
        <f>+'ยอดเบิกตาม GFMIS'!J90</f>
        <v>361169.73</v>
      </c>
      <c r="K82" s="45">
        <f>+J82*100/$C82</f>
        <v>17.061546230650624</v>
      </c>
      <c r="L82" s="45">
        <f>+D82+F82+H82+J82</f>
        <v>361169.73</v>
      </c>
      <c r="M82" s="45">
        <f>+L82*100/$C82</f>
        <v>17.061546230650624</v>
      </c>
      <c r="N82" s="45">
        <f>+C82-L82</f>
        <v>1755694.27</v>
      </c>
      <c r="O82" s="45">
        <f>+N82*100/$C82</f>
        <v>82.93845376934938</v>
      </c>
      <c r="P82" s="45">
        <f>+B82-L82</f>
        <v>1755694.27</v>
      </c>
      <c r="Q82" s="45">
        <f>+P82*100/B82</f>
        <v>82.93845376934938</v>
      </c>
      <c r="R82" s="222"/>
      <c r="S82" s="222"/>
    </row>
    <row r="83" spans="1:19" s="28" customFormat="1">
      <c r="A83" s="46" t="s">
        <v>135</v>
      </c>
      <c r="B83" s="44">
        <f>+B78+B80+B82</f>
        <v>3375084</v>
      </c>
      <c r="C83" s="44">
        <f t="shared" ref="C83:D83" si="101">+C78+C80+C82</f>
        <v>3375084</v>
      </c>
      <c r="D83" s="44">
        <f t="shared" si="101"/>
        <v>0</v>
      </c>
      <c r="E83" s="44">
        <f t="shared" ref="E83" si="102">+E78+E80+E82</f>
        <v>0</v>
      </c>
      <c r="F83" s="44">
        <f t="shared" ref="F83" si="103">+F78+F80+F82</f>
        <v>0</v>
      </c>
      <c r="G83" s="44">
        <f t="shared" ref="G83" si="104">+G78+G80+G82</f>
        <v>0</v>
      </c>
      <c r="H83" s="44">
        <f t="shared" ref="H83" si="105">+H78+H80+H82</f>
        <v>7800</v>
      </c>
      <c r="I83" s="44">
        <f t="shared" ref="I83" si="106">+H83*100/$C83</f>
        <v>0.23110535915550545</v>
      </c>
      <c r="J83" s="44">
        <f>+J78+J80+J82</f>
        <v>365413.32</v>
      </c>
      <c r="K83" s="44">
        <f t="shared" ref="K83" si="107">+J83*100/$C83</f>
        <v>10.826791866513545</v>
      </c>
      <c r="L83" s="44">
        <f>+L78+L80+L82</f>
        <v>373213.32</v>
      </c>
      <c r="M83" s="44">
        <f t="shared" ref="M83" si="108">+L83*100/$C83</f>
        <v>11.05789722566905</v>
      </c>
      <c r="N83" s="44">
        <f>+N78+N80+N82</f>
        <v>3001870.68</v>
      </c>
      <c r="O83" s="44">
        <f t="shared" ref="O83" si="109">+N83*100/$C83</f>
        <v>88.942102774330948</v>
      </c>
      <c r="P83" s="44">
        <f>+P78+P80+P82</f>
        <v>3001870.68</v>
      </c>
      <c r="Q83" s="44">
        <f t="shared" ref="Q83" si="110">+P83*100/B83</f>
        <v>88.942102774330948</v>
      </c>
      <c r="R83" s="241"/>
      <c r="S83" s="241"/>
    </row>
  </sheetData>
  <mergeCells count="36">
    <mergeCell ref="J44:K44"/>
    <mergeCell ref="L44:M44"/>
    <mergeCell ref="N44:O44"/>
    <mergeCell ref="P44:Q44"/>
    <mergeCell ref="J8:K8"/>
    <mergeCell ref="L8:M8"/>
    <mergeCell ref="N8:O8"/>
    <mergeCell ref="P8:Q8"/>
    <mergeCell ref="H44:I44"/>
    <mergeCell ref="A8:A9"/>
    <mergeCell ref="B8:B9"/>
    <mergeCell ref="C8:C9"/>
    <mergeCell ref="D8:E8"/>
    <mergeCell ref="F8:G8"/>
    <mergeCell ref="H8:I8"/>
    <mergeCell ref="A44:A45"/>
    <mergeCell ref="B44:B45"/>
    <mergeCell ref="C44:C45"/>
    <mergeCell ref="D44:E44"/>
    <mergeCell ref="F44:G44"/>
    <mergeCell ref="A6:Q6"/>
    <mergeCell ref="A1:Q1"/>
    <mergeCell ref="A2:Q2"/>
    <mergeCell ref="A3:Q3"/>
    <mergeCell ref="A4:Q4"/>
    <mergeCell ref="A5:Q5"/>
    <mergeCell ref="A75:A76"/>
    <mergeCell ref="B75:B76"/>
    <mergeCell ref="C75:C76"/>
    <mergeCell ref="D75:E75"/>
    <mergeCell ref="F75:G75"/>
    <mergeCell ref="H75:I75"/>
    <mergeCell ref="J75:K75"/>
    <mergeCell ref="L75:M75"/>
    <mergeCell ref="N75:O75"/>
    <mergeCell ref="P75:Q7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&amp;R&amp;P/&amp;N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3:AB3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12" sqref="O12"/>
    </sheetView>
  </sheetViews>
  <sheetFormatPr defaultRowHeight="14.25"/>
  <cols>
    <col min="1" max="1" width="17.125" customWidth="1"/>
    <col min="2" max="5" width="17.75" customWidth="1"/>
    <col min="6" max="8" width="14.875" customWidth="1"/>
    <col min="9" max="9" width="12.875" customWidth="1"/>
    <col min="10" max="10" width="13.625" customWidth="1"/>
    <col min="12" max="12" width="13.625" customWidth="1"/>
    <col min="13" max="13" width="12.375" customWidth="1"/>
    <col min="14" max="14" width="13.25" customWidth="1"/>
    <col min="15" max="15" width="14.5" customWidth="1"/>
    <col min="16" max="16" width="13.5" customWidth="1"/>
    <col min="17" max="17" width="16.375" customWidth="1"/>
    <col min="18" max="18" width="15.125" customWidth="1"/>
    <col min="19" max="19" width="13.375" bestFit="1" customWidth="1"/>
    <col min="20" max="20" width="17.875" customWidth="1"/>
    <col min="21" max="21" width="15.75" customWidth="1"/>
    <col min="22" max="22" width="13.375" bestFit="1" customWidth="1"/>
    <col min="23" max="28" width="14.375" bestFit="1" customWidth="1"/>
  </cols>
  <sheetData>
    <row r="3" spans="1:28" ht="15" thickBot="1"/>
    <row r="4" spans="1:28" s="1" customFormat="1" ht="21" customHeight="1">
      <c r="A4" s="1038" t="s">
        <v>130</v>
      </c>
      <c r="B4" s="1040" t="s">
        <v>389</v>
      </c>
      <c r="C4" s="1041"/>
      <c r="D4" s="1042"/>
      <c r="E4" s="1040" t="s">
        <v>120</v>
      </c>
      <c r="F4" s="1041"/>
      <c r="G4" s="1042"/>
      <c r="H4" s="1043" t="s">
        <v>5</v>
      </c>
      <c r="I4" s="1044"/>
      <c r="J4" s="1045"/>
      <c r="K4" s="1043" t="s">
        <v>6</v>
      </c>
      <c r="L4" s="1044"/>
      <c r="M4" s="1045"/>
      <c r="N4" s="1043" t="s">
        <v>7</v>
      </c>
      <c r="O4" s="1044"/>
      <c r="P4" s="1045"/>
      <c r="Q4" s="1046" t="s">
        <v>127</v>
      </c>
      <c r="R4" s="1047"/>
      <c r="S4" s="1048"/>
      <c r="T4" s="1031" t="s">
        <v>121</v>
      </c>
      <c r="U4" s="1032"/>
      <c r="V4" s="1033"/>
      <c r="W4" s="1034" t="s">
        <v>128</v>
      </c>
      <c r="X4" s="1035"/>
      <c r="Y4" s="1036"/>
      <c r="Z4" s="1037" t="s">
        <v>129</v>
      </c>
      <c r="AA4" s="1035"/>
      <c r="AB4" s="1036"/>
    </row>
    <row r="5" spans="1:28" s="1" customFormat="1" ht="21">
      <c r="A5" s="1039"/>
      <c r="B5" s="149" t="s">
        <v>390</v>
      </c>
      <c r="C5" s="150" t="s">
        <v>391</v>
      </c>
      <c r="D5" s="151" t="s">
        <v>392</v>
      </c>
      <c r="E5" s="149" t="s">
        <v>390</v>
      </c>
      <c r="F5" s="150" t="s">
        <v>391</v>
      </c>
      <c r="G5" s="151" t="s">
        <v>392</v>
      </c>
      <c r="H5" s="149" t="s">
        <v>390</v>
      </c>
      <c r="I5" s="150" t="s">
        <v>391</v>
      </c>
      <c r="J5" s="151" t="s">
        <v>392</v>
      </c>
      <c r="K5" s="149" t="s">
        <v>390</v>
      </c>
      <c r="L5" s="150" t="s">
        <v>391</v>
      </c>
      <c r="M5" s="151" t="s">
        <v>392</v>
      </c>
      <c r="N5" s="149" t="s">
        <v>390</v>
      </c>
      <c r="O5" s="150" t="s">
        <v>391</v>
      </c>
      <c r="P5" s="151" t="s">
        <v>392</v>
      </c>
      <c r="Q5" s="149" t="s">
        <v>390</v>
      </c>
      <c r="R5" s="150" t="s">
        <v>391</v>
      </c>
      <c r="S5" s="151" t="s">
        <v>392</v>
      </c>
      <c r="T5" s="149" t="s">
        <v>390</v>
      </c>
      <c r="U5" s="150" t="s">
        <v>391</v>
      </c>
      <c r="V5" s="151" t="s">
        <v>392</v>
      </c>
      <c r="W5" s="149" t="s">
        <v>390</v>
      </c>
      <c r="X5" s="150" t="s">
        <v>391</v>
      </c>
      <c r="Y5" s="151" t="s">
        <v>392</v>
      </c>
      <c r="Z5" s="152" t="s">
        <v>390</v>
      </c>
      <c r="AA5" s="150" t="s">
        <v>391</v>
      </c>
      <c r="AB5" s="170" t="s">
        <v>392</v>
      </c>
    </row>
    <row r="6" spans="1:28" s="1" customFormat="1" ht="21">
      <c r="A6" s="153" t="s">
        <v>132</v>
      </c>
      <c r="B6" s="154"/>
      <c r="C6" s="41"/>
      <c r="D6" s="155"/>
      <c r="E6" s="154"/>
      <c r="F6" s="41"/>
      <c r="G6" s="155"/>
      <c r="H6" s="154"/>
      <c r="I6" s="41"/>
      <c r="J6" s="155"/>
      <c r="K6" s="154"/>
      <c r="L6" s="41"/>
      <c r="M6" s="155"/>
      <c r="N6" s="154"/>
      <c r="O6" s="41"/>
      <c r="P6" s="155"/>
      <c r="Q6" s="154"/>
      <c r="R6" s="41"/>
      <c r="S6" s="155"/>
      <c r="T6" s="154"/>
      <c r="U6" s="41"/>
      <c r="V6" s="155"/>
      <c r="W6" s="154"/>
      <c r="X6" s="41"/>
      <c r="Y6" s="155"/>
      <c r="Z6" s="156"/>
      <c r="AA6" s="41"/>
      <c r="AB6" s="155"/>
    </row>
    <row r="7" spans="1:28" s="1" customFormat="1" ht="21">
      <c r="A7" s="157" t="s">
        <v>133</v>
      </c>
      <c r="B7" s="158">
        <f>+'ยอดเบิกตาม GFMIS'!B11</f>
        <v>368231400</v>
      </c>
      <c r="C7" s="48">
        <f>+ยอดเบิกตามทะเบียน!B11</f>
        <v>368231400</v>
      </c>
      <c r="D7" s="159">
        <f>+B7-C7</f>
        <v>0</v>
      </c>
      <c r="E7" s="158">
        <f>+'ยอดเบิกตาม GFMIS'!C11</f>
        <v>184115700</v>
      </c>
      <c r="F7" s="48">
        <f>+ยอดเบิกตามทะเบียน!C11</f>
        <v>184115700</v>
      </c>
      <c r="G7" s="159">
        <f>+E7-F7</f>
        <v>0</v>
      </c>
      <c r="H7" s="158">
        <f>+'ยอดเบิกตาม GFMIS'!D11</f>
        <v>0</v>
      </c>
      <c r="I7" s="48">
        <f>+ยอดเบิกตามทะเบียน!D11</f>
        <v>0</v>
      </c>
      <c r="J7" s="159">
        <f>+H7-I7</f>
        <v>0</v>
      </c>
      <c r="K7" s="158">
        <f>+'ยอดเบิกตาม GFMIS'!F11</f>
        <v>0</v>
      </c>
      <c r="L7" s="48">
        <f>+ยอดเบิกตามทะเบียน!F11</f>
        <v>0</v>
      </c>
      <c r="M7" s="159">
        <f>+K7-L7</f>
        <v>0</v>
      </c>
      <c r="N7" s="158">
        <f>+'ยอดเบิกตาม GFMIS'!H11</f>
        <v>0</v>
      </c>
      <c r="O7" s="48">
        <f>+ยอดเบิกตามทะเบียน!H11</f>
        <v>0</v>
      </c>
      <c r="P7" s="159">
        <f>+N7-O7</f>
        <v>0</v>
      </c>
      <c r="Q7" s="158">
        <f>+'ยอดเบิกตาม GFMIS'!J11</f>
        <v>94670302.109999999</v>
      </c>
      <c r="R7" s="48">
        <f>+ยอดเบิกตามทะเบียน!J11</f>
        <v>94670302.109999999</v>
      </c>
      <c r="S7" s="159">
        <f>+Q7-R7</f>
        <v>0</v>
      </c>
      <c r="T7" s="158">
        <f>+'ยอดเบิกตาม GFMIS'!L11</f>
        <v>94670302.109999999</v>
      </c>
      <c r="U7" s="48">
        <f>+ยอดเบิกตามทะเบียน!L11</f>
        <v>94670302.109999999</v>
      </c>
      <c r="V7" s="159">
        <f>+T7-U7</f>
        <v>0</v>
      </c>
      <c r="W7" s="158">
        <f>+'ยอดเบิกตาม GFMIS'!N11</f>
        <v>89445397.890000001</v>
      </c>
      <c r="X7" s="48">
        <f>+ยอดเบิกตามทะเบียน!N11</f>
        <v>89445397.890000001</v>
      </c>
      <c r="Y7" s="159">
        <f>+W7-X7</f>
        <v>0</v>
      </c>
      <c r="Z7" s="160">
        <f>+'ยอดเบิกตาม GFMIS'!P11</f>
        <v>273561097.88999999</v>
      </c>
      <c r="AA7" s="48">
        <f>+ยอดเบิกตามทะเบียน!P11</f>
        <v>273561097.88999999</v>
      </c>
      <c r="AB7" s="159">
        <f>+Z7-AA7</f>
        <v>0</v>
      </c>
    </row>
    <row r="8" spans="1:28" s="1" customFormat="1" ht="21">
      <c r="A8" s="157" t="s">
        <v>134</v>
      </c>
      <c r="B8" s="158">
        <f>+'ยอดเบิกตาม GFMIS'!B12</f>
        <v>24429600</v>
      </c>
      <c r="C8" s="48">
        <f>+ยอดเบิกตามทะเบียน!B12</f>
        <v>24429600</v>
      </c>
      <c r="D8" s="159">
        <f t="shared" ref="D8:D37" si="0">+B8-C8</f>
        <v>0</v>
      </c>
      <c r="E8" s="158">
        <f>+'ยอดเบิกตาม GFMIS'!C12</f>
        <v>12214800</v>
      </c>
      <c r="F8" s="48">
        <f>+ยอดเบิกตามทะเบียน!C12</f>
        <v>12214800</v>
      </c>
      <c r="G8" s="159">
        <f t="shared" ref="G8:G37" si="1">+E8-F8</f>
        <v>0</v>
      </c>
      <c r="H8" s="158">
        <f>+'ยอดเบิกตาม GFMIS'!D12</f>
        <v>0</v>
      </c>
      <c r="I8" s="48">
        <f>+ยอดเบิกตามทะเบียน!D12</f>
        <v>0</v>
      </c>
      <c r="J8" s="159">
        <f t="shared" ref="J8:J37" si="2">+H8-I8</f>
        <v>0</v>
      </c>
      <c r="K8" s="158">
        <f>+'ยอดเบิกตาม GFMIS'!F12</f>
        <v>0</v>
      </c>
      <c r="L8" s="48">
        <f>+ยอดเบิกตามทะเบียน!F12</f>
        <v>28800</v>
      </c>
      <c r="M8" s="159">
        <f t="shared" ref="M8:M37" si="3">+K8-L8</f>
        <v>-28800</v>
      </c>
      <c r="N8" s="158">
        <f>+'ยอดเบิกตาม GFMIS'!H12</f>
        <v>0</v>
      </c>
      <c r="O8" s="48">
        <f>+ยอดเบิกตามทะเบียน!H12</f>
        <v>0</v>
      </c>
      <c r="P8" s="159">
        <f t="shared" ref="P8:P37" si="4">+N8-O8</f>
        <v>0</v>
      </c>
      <c r="Q8" s="158">
        <f>+'ยอดเบิกตาม GFMIS'!J12</f>
        <v>5386723.2199999997</v>
      </c>
      <c r="R8" s="48">
        <f>+ยอดเบิกตามทะเบียน!J12</f>
        <v>5386723.2199999997</v>
      </c>
      <c r="S8" s="159">
        <f t="shared" ref="S8:S37" si="5">+Q8-R8</f>
        <v>0</v>
      </c>
      <c r="T8" s="158">
        <f>+'ยอดเบิกตาม GFMIS'!L12</f>
        <v>5386723.2199999997</v>
      </c>
      <c r="U8" s="48">
        <f>+ยอดเบิกตามทะเบียน!L12</f>
        <v>5415523.2199999997</v>
      </c>
      <c r="V8" s="159">
        <f t="shared" ref="V8:V37" si="6">+T8-U8</f>
        <v>-28800</v>
      </c>
      <c r="W8" s="158">
        <f>+'[22]ยอเบิกตาม GFMIS'!N12</f>
        <v>12168099</v>
      </c>
      <c r="X8" s="48">
        <f>+ยอดเบิกตามทะเบียน!N12</f>
        <v>6799276.7800000003</v>
      </c>
      <c r="Y8" s="159">
        <f t="shared" ref="Y8:Y37" si="7">+W8-X8</f>
        <v>5368822.2199999997</v>
      </c>
      <c r="Z8" s="160">
        <f>+'ยอดเบิกตาม GFMIS'!P12</f>
        <v>19042876.780000001</v>
      </c>
      <c r="AA8" s="48">
        <f>+ยอดเบิกตามทะเบียน!P12</f>
        <v>19014076.780000001</v>
      </c>
      <c r="AB8" s="159">
        <f t="shared" ref="AB8:AB37" si="8">+Z8-AA8</f>
        <v>28800</v>
      </c>
    </row>
    <row r="9" spans="1:28" s="37" customFormat="1" ht="21">
      <c r="A9" s="161" t="s">
        <v>135</v>
      </c>
      <c r="B9" s="158">
        <f>+'ยอดเบิกตาม GFMIS'!B13</f>
        <v>392661000</v>
      </c>
      <c r="C9" s="48">
        <f>+ยอดเบิกตามทะเบียน!B13</f>
        <v>392661000</v>
      </c>
      <c r="D9" s="159">
        <f t="shared" si="0"/>
        <v>0</v>
      </c>
      <c r="E9" s="158">
        <f>+'ยอดเบิกตาม GFMIS'!C13</f>
        <v>196330500</v>
      </c>
      <c r="F9" s="48">
        <f>+ยอดเบิกตามทะเบียน!C13</f>
        <v>196330500</v>
      </c>
      <c r="G9" s="159">
        <f t="shared" si="1"/>
        <v>0</v>
      </c>
      <c r="H9" s="158">
        <f>+'ยอดเบิกตาม GFMIS'!D13</f>
        <v>0</v>
      </c>
      <c r="I9" s="48">
        <f>+ยอดเบิกตามทะเบียน!D13</f>
        <v>0</v>
      </c>
      <c r="J9" s="159">
        <f t="shared" si="2"/>
        <v>0</v>
      </c>
      <c r="K9" s="158">
        <f>+'ยอดเบิกตาม GFMIS'!F13</f>
        <v>0</v>
      </c>
      <c r="L9" s="48">
        <f>+ยอดเบิกตามทะเบียน!F13</f>
        <v>28800</v>
      </c>
      <c r="M9" s="159">
        <f t="shared" si="3"/>
        <v>-28800</v>
      </c>
      <c r="N9" s="158">
        <f>+'ยอดเบิกตาม GFMIS'!H13</f>
        <v>0</v>
      </c>
      <c r="O9" s="48">
        <f>+ยอดเบิกตามทะเบียน!H13</f>
        <v>0</v>
      </c>
      <c r="P9" s="159">
        <f t="shared" si="4"/>
        <v>0</v>
      </c>
      <c r="Q9" s="158">
        <f>+'ยอดเบิกตาม GFMIS'!J13</f>
        <v>100057025.33</v>
      </c>
      <c r="R9" s="48">
        <f>+ยอดเบิกตามทะเบียน!J13</f>
        <v>100057025.33</v>
      </c>
      <c r="S9" s="159">
        <f t="shared" si="5"/>
        <v>0</v>
      </c>
      <c r="T9" s="158">
        <f>+'ยอดเบิกตาม GFMIS'!L13</f>
        <v>100057025.33</v>
      </c>
      <c r="U9" s="48">
        <f>+ยอดเบิกตามทะเบียน!L13</f>
        <v>100085825.33</v>
      </c>
      <c r="V9" s="159">
        <f t="shared" si="6"/>
        <v>-28800</v>
      </c>
      <c r="W9" s="158">
        <f>+'[22]ยอเบิกตาม GFMIS'!N13</f>
        <v>165759782.74000001</v>
      </c>
      <c r="X9" s="48">
        <f>+ยอดเบิกตามทะเบียน!N13</f>
        <v>96244674.670000002</v>
      </c>
      <c r="Y9" s="159">
        <f t="shared" si="7"/>
        <v>69515108.070000008</v>
      </c>
      <c r="Z9" s="160">
        <f>+'ยอดเบิกตาม GFMIS'!P13</f>
        <v>292603974.66999996</v>
      </c>
      <c r="AA9" s="48">
        <f>+ยอดเบิกตามทะเบียน!P13</f>
        <v>292575174.66999996</v>
      </c>
      <c r="AB9" s="159">
        <f t="shared" si="8"/>
        <v>28800</v>
      </c>
    </row>
    <row r="10" spans="1:28" s="1" customFormat="1" ht="21">
      <c r="A10" s="153" t="s">
        <v>136</v>
      </c>
      <c r="B10" s="158">
        <f>+'ยอดเบิกตาม GFMIS'!B14</f>
        <v>0</v>
      </c>
      <c r="C10" s="48">
        <f>+ยอดเบิกตามทะเบียน!B14</f>
        <v>0</v>
      </c>
      <c r="D10" s="159">
        <f t="shared" si="0"/>
        <v>0</v>
      </c>
      <c r="E10" s="158">
        <f>+'ยอดเบิกตาม GFMIS'!C14</f>
        <v>0</v>
      </c>
      <c r="F10" s="48">
        <f>+ยอดเบิกตามทะเบียน!C14</f>
        <v>0</v>
      </c>
      <c r="G10" s="159">
        <f t="shared" si="1"/>
        <v>0</v>
      </c>
      <c r="H10" s="158">
        <f>+'ยอดเบิกตาม GFMIS'!D14</f>
        <v>0</v>
      </c>
      <c r="I10" s="48">
        <f>+ยอดเบิกตามทะเบียน!D14</f>
        <v>0</v>
      </c>
      <c r="J10" s="159">
        <f t="shared" si="2"/>
        <v>0</v>
      </c>
      <c r="K10" s="158">
        <f>+'ยอดเบิกตาม GFMIS'!F14</f>
        <v>0</v>
      </c>
      <c r="L10" s="48">
        <f>+ยอดเบิกตามทะเบียน!F14</f>
        <v>0</v>
      </c>
      <c r="M10" s="159">
        <f t="shared" si="3"/>
        <v>0</v>
      </c>
      <c r="N10" s="158">
        <f>+'ยอดเบิกตาม GFMIS'!H14</f>
        <v>0</v>
      </c>
      <c r="O10" s="48">
        <f>+ยอดเบิกตามทะเบียน!H14</f>
        <v>0</v>
      </c>
      <c r="P10" s="159">
        <f t="shared" si="4"/>
        <v>0</v>
      </c>
      <c r="Q10" s="158">
        <f>+'ยอดเบิกตาม GFMIS'!J14</f>
        <v>0</v>
      </c>
      <c r="R10" s="48">
        <f>+ยอดเบิกตามทะเบียน!J14</f>
        <v>0</v>
      </c>
      <c r="S10" s="159">
        <f t="shared" si="5"/>
        <v>0</v>
      </c>
      <c r="T10" s="158">
        <f>+'ยอดเบิกตาม GFMIS'!L14</f>
        <v>0</v>
      </c>
      <c r="U10" s="48">
        <f>+ยอดเบิกตามทะเบียน!L14</f>
        <v>0</v>
      </c>
      <c r="V10" s="159">
        <f t="shared" si="6"/>
        <v>0</v>
      </c>
      <c r="W10" s="158">
        <f>+'[22]ยอเบิกตาม GFMIS'!N14</f>
        <v>0</v>
      </c>
      <c r="X10" s="48">
        <f>+ยอดเบิกตามทะเบียน!N14</f>
        <v>0</v>
      </c>
      <c r="Y10" s="159">
        <f t="shared" si="7"/>
        <v>0</v>
      </c>
      <c r="Z10" s="160">
        <f>+'ยอดเบิกตาม GFMIS'!P14</f>
        <v>0</v>
      </c>
      <c r="AA10" s="48">
        <f>+ยอดเบิกตามทะเบียน!P14</f>
        <v>0</v>
      </c>
      <c r="AB10" s="159">
        <f t="shared" si="8"/>
        <v>0</v>
      </c>
    </row>
    <row r="11" spans="1:28" s="1" customFormat="1" ht="21">
      <c r="A11" s="157" t="s">
        <v>134</v>
      </c>
      <c r="B11" s="158">
        <f>+'ยอดเบิกตาม GFMIS'!B15</f>
        <v>164566300</v>
      </c>
      <c r="C11" s="48">
        <f>+ยอดเบิกตามทะเบียน!B15</f>
        <v>164566300</v>
      </c>
      <c r="D11" s="159">
        <f t="shared" si="0"/>
        <v>0</v>
      </c>
      <c r="E11" s="158">
        <f>+'ยอดเบิกตาม GFMIS'!C15</f>
        <v>82275600</v>
      </c>
      <c r="F11" s="48">
        <f>+ยอดเบิกตามทะเบียน!C15</f>
        <v>82275600</v>
      </c>
      <c r="G11" s="159">
        <f t="shared" si="1"/>
        <v>0</v>
      </c>
      <c r="H11" s="158">
        <f>+'ยอดเบิกตาม GFMIS'!D15</f>
        <v>0</v>
      </c>
      <c r="I11" s="48">
        <f>+ยอดเบิกตามทะเบียน!D15</f>
        <v>302249</v>
      </c>
      <c r="J11" s="159">
        <f t="shared" si="2"/>
        <v>-302249</v>
      </c>
      <c r="K11" s="158">
        <f>+'ยอดเบิกตาม GFMIS'!F15</f>
        <v>0</v>
      </c>
      <c r="L11" s="48">
        <f>+ยอดเบิกตามทะเบียน!F15</f>
        <v>1024855.53</v>
      </c>
      <c r="M11" s="159">
        <f t="shared" si="3"/>
        <v>-1024855.53</v>
      </c>
      <c r="N11" s="158">
        <f>+'ยอดเบิกตาม GFMIS'!H15</f>
        <v>20060578.449999999</v>
      </c>
      <c r="O11" s="48">
        <f>+ยอดเบิกตามทะเบียน!H15</f>
        <v>944810.85000000009</v>
      </c>
      <c r="P11" s="159">
        <f t="shared" si="4"/>
        <v>19115767.599999998</v>
      </c>
      <c r="Q11" s="158">
        <f>+'ยอดเบิกตาม GFMIS'!J15</f>
        <v>24314214.23</v>
      </c>
      <c r="R11" s="48">
        <f>+ยอดเบิกตามทะเบียน!J15</f>
        <v>24314214.830000002</v>
      </c>
      <c r="S11" s="159">
        <f t="shared" si="5"/>
        <v>-0.60000000149011612</v>
      </c>
      <c r="T11" s="158">
        <f>+'ยอดเบิกตาม GFMIS'!L15</f>
        <v>44374792.680000007</v>
      </c>
      <c r="U11" s="48">
        <f>+ยอดเบิกตามทะเบียน!L15</f>
        <v>26586130.210000001</v>
      </c>
      <c r="V11" s="159">
        <f t="shared" si="6"/>
        <v>17788662.470000006</v>
      </c>
      <c r="W11" s="158">
        <f>+'[22]ยอเบิกตาม GFMIS'!N15</f>
        <v>70639854.5</v>
      </c>
      <c r="X11" s="48">
        <f>+ยอดเบิกตามทะเบียน!N15</f>
        <v>55689469.789999992</v>
      </c>
      <c r="Y11" s="159">
        <f t="shared" si="7"/>
        <v>14950384.710000008</v>
      </c>
      <c r="Z11" s="160">
        <f>+'ยอดเบิกตาม GFMIS'!P15</f>
        <v>120191507.31999999</v>
      </c>
      <c r="AA11" s="48">
        <f>+ยอดเบิกตามทะเบียน!P15</f>
        <v>137980169.78999999</v>
      </c>
      <c r="AB11" s="159">
        <f t="shared" si="8"/>
        <v>-17788662.469999999</v>
      </c>
    </row>
    <row r="12" spans="1:28" s="1" customFormat="1" ht="21">
      <c r="A12" s="157" t="s">
        <v>137</v>
      </c>
      <c r="B12" s="158">
        <f>+'ยอดเบิกตาม GFMIS'!B16</f>
        <v>160358300</v>
      </c>
      <c r="C12" s="48">
        <f>+ยอดเบิกตามทะเบียน!B16</f>
        <v>160358300</v>
      </c>
      <c r="D12" s="159">
        <f t="shared" si="0"/>
        <v>0</v>
      </c>
      <c r="E12" s="158">
        <f>+'ยอดเบิกตาม GFMIS'!C16</f>
        <v>160358300</v>
      </c>
      <c r="F12" s="48">
        <f>+ยอดเบิกตามทะเบียน!C16</f>
        <v>160358300</v>
      </c>
      <c r="G12" s="159">
        <f t="shared" si="1"/>
        <v>0</v>
      </c>
      <c r="H12" s="158">
        <f>+'ยอดเบิกตาม GFMIS'!D16</f>
        <v>0</v>
      </c>
      <c r="I12" s="48">
        <f>+ยอดเบิกตามทะเบียน!D16</f>
        <v>337500</v>
      </c>
      <c r="J12" s="159">
        <f t="shared" si="2"/>
        <v>-337500</v>
      </c>
      <c r="K12" s="158">
        <f>+'ยอดเบิกตาม GFMIS'!F16</f>
        <v>0</v>
      </c>
      <c r="L12" s="48">
        <f>+ยอดเบิกตามทะเบียน!F16</f>
        <v>0</v>
      </c>
      <c r="M12" s="159">
        <f t="shared" si="3"/>
        <v>0</v>
      </c>
      <c r="N12" s="158">
        <f>+'ยอดเบิกตาม GFMIS'!H16</f>
        <v>1250269.76</v>
      </c>
      <c r="O12" s="48">
        <f>+ยอดเบิกตามทะเบียน!H16</f>
        <v>0</v>
      </c>
      <c r="P12" s="159">
        <f t="shared" si="4"/>
        <v>1250269.76</v>
      </c>
      <c r="Q12" s="158">
        <f>+'ยอดเบิกตาม GFMIS'!J16</f>
        <v>935227.4</v>
      </c>
      <c r="R12" s="48">
        <f>+ยอดเบิกตามทะเบียน!J16</f>
        <v>935227.4</v>
      </c>
      <c r="S12" s="159">
        <f t="shared" si="5"/>
        <v>0</v>
      </c>
      <c r="T12" s="158">
        <f>+'ยอดเบิกตาม GFMIS'!L16</f>
        <v>2185497.16</v>
      </c>
      <c r="U12" s="48">
        <f>+ยอดเบิกตามทะเบียน!L16</f>
        <v>1272727.3999999999</v>
      </c>
      <c r="V12" s="159">
        <f t="shared" si="6"/>
        <v>912769.76000000024</v>
      </c>
      <c r="W12" s="158">
        <f>+'[22]ยอเบิกตาม GFMIS'!N16</f>
        <v>160348700</v>
      </c>
      <c r="X12" s="48">
        <f>+ยอดเบิกตามทะเบียน!N16</f>
        <v>159085572.59999999</v>
      </c>
      <c r="Y12" s="159">
        <f t="shared" si="7"/>
        <v>1263127.400000006</v>
      </c>
      <c r="Z12" s="160">
        <f>+'ยอดเบิกตาม GFMIS'!P16</f>
        <v>158172802.84</v>
      </c>
      <c r="AA12" s="48">
        <f>+ยอดเบิกตามทะเบียน!P16</f>
        <v>159085572.59999999</v>
      </c>
      <c r="AB12" s="159">
        <f t="shared" si="8"/>
        <v>-912769.75999999046</v>
      </c>
    </row>
    <row r="13" spans="1:28" s="1" customFormat="1" ht="21">
      <c r="A13" s="157" t="s">
        <v>138</v>
      </c>
      <c r="B13" s="158">
        <f>+'ยอดเบิกตาม GFMIS'!B17</f>
        <v>4015000</v>
      </c>
      <c r="C13" s="48">
        <f>+ยอดเบิกตามทะเบียน!B17</f>
        <v>4015000</v>
      </c>
      <c r="D13" s="159">
        <f t="shared" si="0"/>
        <v>0</v>
      </c>
      <c r="E13" s="158">
        <f>+'ยอดเบิกตาม GFMIS'!C17</f>
        <v>2015000</v>
      </c>
      <c r="F13" s="48">
        <f>+ยอดเบิกตามทะเบียน!C17</f>
        <v>2015000</v>
      </c>
      <c r="G13" s="159">
        <f t="shared" si="1"/>
        <v>0</v>
      </c>
      <c r="H13" s="158">
        <f>+'ยอดเบิกตาม GFMIS'!D17</f>
        <v>0</v>
      </c>
      <c r="I13" s="48">
        <f>+ยอดเบิกตามทะเบียน!D17</f>
        <v>0</v>
      </c>
      <c r="J13" s="159">
        <f t="shared" si="2"/>
        <v>0</v>
      </c>
      <c r="K13" s="158">
        <f>+'ยอดเบิกตาม GFMIS'!F17</f>
        <v>0</v>
      </c>
      <c r="L13" s="48">
        <f>+ยอดเบิกตามทะเบียน!F17</f>
        <v>1000</v>
      </c>
      <c r="M13" s="159">
        <f t="shared" si="3"/>
        <v>-1000</v>
      </c>
      <c r="N13" s="158">
        <f>+'ยอดเบิกตาม GFMIS'!H17</f>
        <v>0</v>
      </c>
      <c r="O13" s="48">
        <f>+ยอดเบิกตามทะเบียน!H17</f>
        <v>0</v>
      </c>
      <c r="P13" s="159">
        <f t="shared" si="4"/>
        <v>0</v>
      </c>
      <c r="Q13" s="158">
        <f>+'ยอดเบิกตาม GFMIS'!J17</f>
        <v>242461.5</v>
      </c>
      <c r="R13" s="48">
        <f>+ยอดเบิกตามทะเบียน!J17</f>
        <v>242461.49999999997</v>
      </c>
      <c r="S13" s="159">
        <f t="shared" si="5"/>
        <v>0</v>
      </c>
      <c r="T13" s="158">
        <f>+'ยอดเบิกตาม GFMIS'!L17</f>
        <v>242461.5</v>
      </c>
      <c r="U13" s="48">
        <f>+ยอดเบิกตามทะเบียน!L17</f>
        <v>243461.49999999997</v>
      </c>
      <c r="V13" s="159">
        <f t="shared" si="6"/>
        <v>-999.9999999999709</v>
      </c>
      <c r="W13" s="158">
        <f>+'[22]ยอเบิกตาม GFMIS'!N17</f>
        <v>2000000</v>
      </c>
      <c r="X13" s="48">
        <f>+ยอดเบิกตามทะเบียน!N17</f>
        <v>1771538.5</v>
      </c>
      <c r="Y13" s="159">
        <f t="shared" si="7"/>
        <v>228461.5</v>
      </c>
      <c r="Z13" s="160">
        <f>+'ยอดเบิกตาม GFMIS'!P17</f>
        <v>3772538.5</v>
      </c>
      <c r="AA13" s="48">
        <f>+ยอดเบิกตามทะเบียน!P17</f>
        <v>3771538.5</v>
      </c>
      <c r="AB13" s="159">
        <f t="shared" si="8"/>
        <v>1000</v>
      </c>
    </row>
    <row r="14" spans="1:28" s="37" customFormat="1" ht="21">
      <c r="A14" s="161" t="s">
        <v>135</v>
      </c>
      <c r="B14" s="158">
        <f>+'ยอดเบิกตาม GFMIS'!B18</f>
        <v>328939600</v>
      </c>
      <c r="C14" s="48">
        <f>+ยอดเบิกตามทะเบียน!B18</f>
        <v>328939600</v>
      </c>
      <c r="D14" s="159">
        <f t="shared" si="0"/>
        <v>0</v>
      </c>
      <c r="E14" s="158">
        <f>+'ยอดเบิกตาม GFMIS'!C18</f>
        <v>244648900</v>
      </c>
      <c r="F14" s="48">
        <f>+ยอดเบิกตามทะเบียน!C18</f>
        <v>244648900</v>
      </c>
      <c r="G14" s="159">
        <f t="shared" si="1"/>
        <v>0</v>
      </c>
      <c r="H14" s="158">
        <f>+'ยอดเบิกตาม GFMIS'!D18</f>
        <v>0</v>
      </c>
      <c r="I14" s="48">
        <f>+ยอดเบิกตามทะเบียน!D18</f>
        <v>639749</v>
      </c>
      <c r="J14" s="159">
        <f t="shared" si="2"/>
        <v>-639749</v>
      </c>
      <c r="K14" s="158">
        <f>+'ยอดเบิกตาม GFMIS'!F18</f>
        <v>0</v>
      </c>
      <c r="L14" s="48">
        <f>+ยอดเบิกตามทะเบียน!F18</f>
        <v>1025855.53</v>
      </c>
      <c r="M14" s="159">
        <f t="shared" si="3"/>
        <v>-1025855.53</v>
      </c>
      <c r="N14" s="158">
        <f>+'ยอดเบิกตาม GFMIS'!H18</f>
        <v>21310848.210000001</v>
      </c>
      <c r="O14" s="48">
        <f>+ยอดเบิกตามทะเบียน!H18</f>
        <v>944810.85000000009</v>
      </c>
      <c r="P14" s="159">
        <f t="shared" si="4"/>
        <v>20366037.359999999</v>
      </c>
      <c r="Q14" s="158">
        <f>+'ยอดเบิกตาม GFMIS'!J18</f>
        <v>25491903.129999999</v>
      </c>
      <c r="R14" s="48">
        <f>+ยอดเบิกตามทะเบียน!J18</f>
        <v>25491903.73</v>
      </c>
      <c r="S14" s="159">
        <f t="shared" si="5"/>
        <v>-0.60000000149011612</v>
      </c>
      <c r="T14" s="158">
        <f>+'ยอดเบิกตาม GFMIS'!L18</f>
        <v>46802751.340000004</v>
      </c>
      <c r="U14" s="48">
        <f>+ยอดเบิกตามทะเบียน!L18</f>
        <v>28102319.109999999</v>
      </c>
      <c r="V14" s="159">
        <f t="shared" si="6"/>
        <v>18700432.230000004</v>
      </c>
      <c r="W14" s="158">
        <f>+'[22]ยอเบิกตาม GFMIS'!N18</f>
        <v>232988554.5</v>
      </c>
      <c r="X14" s="48">
        <f>+ยอดเบิกตามทะเบียน!N18</f>
        <v>216546580.88999999</v>
      </c>
      <c r="Y14" s="159">
        <f t="shared" si="7"/>
        <v>16441973.610000014</v>
      </c>
      <c r="Z14" s="160">
        <f>+'ยอดเบิกตาม GFMIS'!P18</f>
        <v>282136848.65999997</v>
      </c>
      <c r="AA14" s="48">
        <f>+ยอดเบิกตามทะเบียน!P18</f>
        <v>300837280.88999999</v>
      </c>
      <c r="AB14" s="159">
        <f t="shared" si="8"/>
        <v>-18700432.230000019</v>
      </c>
    </row>
    <row r="15" spans="1:28" s="1" customFormat="1" ht="21">
      <c r="A15" s="153" t="s">
        <v>139</v>
      </c>
      <c r="B15" s="158">
        <f>+'ยอดเบิกตาม GFMIS'!B19</f>
        <v>0</v>
      </c>
      <c r="C15" s="48">
        <f>+ยอดเบิกตามทะเบียน!B19</f>
        <v>0</v>
      </c>
      <c r="D15" s="159">
        <f t="shared" si="0"/>
        <v>0</v>
      </c>
      <c r="E15" s="158">
        <f>+'ยอดเบิกตาม GFMIS'!C19</f>
        <v>0</v>
      </c>
      <c r="F15" s="48">
        <f>+ยอดเบิกตามทะเบียน!C19</f>
        <v>0</v>
      </c>
      <c r="G15" s="159">
        <f t="shared" si="1"/>
        <v>0</v>
      </c>
      <c r="H15" s="158">
        <f>+'ยอดเบิกตาม GFMIS'!D19</f>
        <v>0</v>
      </c>
      <c r="I15" s="48">
        <f>+ยอดเบิกตามทะเบียน!D19</f>
        <v>0</v>
      </c>
      <c r="J15" s="159">
        <f t="shared" si="2"/>
        <v>0</v>
      </c>
      <c r="K15" s="158">
        <f>+'ยอดเบิกตาม GFMIS'!F19</f>
        <v>0</v>
      </c>
      <c r="L15" s="48">
        <f>+ยอดเบิกตามทะเบียน!F19</f>
        <v>0</v>
      </c>
      <c r="M15" s="159">
        <f t="shared" si="3"/>
        <v>0</v>
      </c>
      <c r="N15" s="158">
        <f>+'ยอดเบิกตาม GFMIS'!H19</f>
        <v>0</v>
      </c>
      <c r="O15" s="48">
        <f>+ยอดเบิกตามทะเบียน!H19</f>
        <v>0</v>
      </c>
      <c r="P15" s="159">
        <f t="shared" si="4"/>
        <v>0</v>
      </c>
      <c r="Q15" s="158">
        <f>+'ยอดเบิกตาม GFMIS'!J19</f>
        <v>0</v>
      </c>
      <c r="R15" s="48">
        <f>+ยอดเบิกตามทะเบียน!J19</f>
        <v>0</v>
      </c>
      <c r="S15" s="159">
        <f t="shared" si="5"/>
        <v>0</v>
      </c>
      <c r="T15" s="158">
        <f>+'ยอดเบิกตาม GFMIS'!L19</f>
        <v>0</v>
      </c>
      <c r="U15" s="48">
        <f>+ยอดเบิกตามทะเบียน!L19</f>
        <v>0</v>
      </c>
      <c r="V15" s="159">
        <f t="shared" si="6"/>
        <v>0</v>
      </c>
      <c r="W15" s="158">
        <f>+'[22]ยอเบิกตาม GFMIS'!N19</f>
        <v>0</v>
      </c>
      <c r="X15" s="48">
        <f>+ยอดเบิกตามทะเบียน!N19</f>
        <v>0</v>
      </c>
      <c r="Y15" s="159">
        <f t="shared" si="7"/>
        <v>0</v>
      </c>
      <c r="Z15" s="160">
        <f>+'ยอดเบิกตาม GFMIS'!P19</f>
        <v>0</v>
      </c>
      <c r="AA15" s="48">
        <f>+ยอดเบิกตามทะเบียน!P19</f>
        <v>0</v>
      </c>
      <c r="AB15" s="159">
        <f t="shared" si="8"/>
        <v>0</v>
      </c>
    </row>
    <row r="16" spans="1:28" s="1" customFormat="1" ht="21">
      <c r="A16" s="157" t="s">
        <v>134</v>
      </c>
      <c r="B16" s="158">
        <f>+'ยอดเบิกตาม GFMIS'!B20</f>
        <v>15069400</v>
      </c>
      <c r="C16" s="48">
        <f>+ยอดเบิกตามทะเบียน!B20</f>
        <v>15069400</v>
      </c>
      <c r="D16" s="159">
        <f t="shared" si="0"/>
        <v>0</v>
      </c>
      <c r="E16" s="158">
        <f>+'ยอดเบิกตาม GFMIS'!C20</f>
        <v>7534700</v>
      </c>
      <c r="F16" s="48">
        <f>+ยอดเบิกตามทะเบียน!C20</f>
        <v>7534700</v>
      </c>
      <c r="G16" s="159">
        <f t="shared" si="1"/>
        <v>0</v>
      </c>
      <c r="H16" s="158">
        <f>+'ยอดเบิกตาม GFMIS'!D20</f>
        <v>0</v>
      </c>
      <c r="I16" s="48">
        <f>+ยอดเบิกตามทะเบียน!D20</f>
        <v>0</v>
      </c>
      <c r="J16" s="159">
        <f t="shared" si="2"/>
        <v>0</v>
      </c>
      <c r="K16" s="158">
        <f>+'ยอดเบิกตาม GFMIS'!F20</f>
        <v>0</v>
      </c>
      <c r="L16" s="48">
        <f>+ยอดเบิกตามทะเบียน!F20</f>
        <v>509729.58999999997</v>
      </c>
      <c r="M16" s="159">
        <f t="shared" si="3"/>
        <v>-509729.58999999997</v>
      </c>
      <c r="N16" s="158">
        <f>+'ยอดเบิกตาม GFMIS'!H20</f>
        <v>3183148.85</v>
      </c>
      <c r="O16" s="48">
        <f>+ยอดเบิกตามทะเบียน!H20</f>
        <v>85600</v>
      </c>
      <c r="P16" s="159">
        <f t="shared" si="4"/>
        <v>3097548.85</v>
      </c>
      <c r="Q16" s="158">
        <f>+'ยอดเบิกตาม GFMIS'!J20</f>
        <v>1209932.1499999999</v>
      </c>
      <c r="R16" s="48">
        <f>+ยอดเบิกตามทะเบียน!J20</f>
        <v>1209932.1500000001</v>
      </c>
      <c r="S16" s="159">
        <f t="shared" si="5"/>
        <v>0</v>
      </c>
      <c r="T16" s="158">
        <f>+'ยอดเบิกตาม GFMIS'!L20</f>
        <v>4393081</v>
      </c>
      <c r="U16" s="48">
        <f>+ยอดเบิกตามทะเบียน!L20</f>
        <v>1805261.7400000002</v>
      </c>
      <c r="V16" s="159">
        <f t="shared" si="6"/>
        <v>2587819.2599999998</v>
      </c>
      <c r="W16" s="158">
        <f>+'[22]ยอเบิกตาม GFMIS'!N20</f>
        <v>5431290</v>
      </c>
      <c r="X16" s="48">
        <f>+ยอดเบิกตามทะเบียน!N20</f>
        <v>5729438.2599999998</v>
      </c>
      <c r="Y16" s="159">
        <f t="shared" si="7"/>
        <v>-298148.25999999978</v>
      </c>
      <c r="Z16" s="160">
        <f>+'ยอดเบิกตาม GFMIS'!P20</f>
        <v>10676319</v>
      </c>
      <c r="AA16" s="48">
        <f>+ยอดเบิกตามทะเบียน!P20</f>
        <v>13264138.26</v>
      </c>
      <c r="AB16" s="159">
        <f t="shared" si="8"/>
        <v>-2587819.2599999998</v>
      </c>
    </row>
    <row r="17" spans="1:28" s="1" customFormat="1" ht="21">
      <c r="A17" s="157" t="s">
        <v>137</v>
      </c>
      <c r="B17" s="158">
        <f>+'ยอดเบิกตาม GFMIS'!B21</f>
        <v>2375300</v>
      </c>
      <c r="C17" s="48">
        <f>+ยอดเบิกตามทะเบียน!B21</f>
        <v>2375300</v>
      </c>
      <c r="D17" s="159">
        <f t="shared" si="0"/>
        <v>0</v>
      </c>
      <c r="E17" s="158">
        <f>+'ยอดเบิกตาม GFMIS'!C21</f>
        <v>2375300</v>
      </c>
      <c r="F17" s="48">
        <f>+ยอดเบิกตามทะเบียน!C21</f>
        <v>2375300</v>
      </c>
      <c r="G17" s="159">
        <f t="shared" si="1"/>
        <v>0</v>
      </c>
      <c r="H17" s="158">
        <f>+'ยอดเบิกตาม GFMIS'!D21</f>
        <v>0</v>
      </c>
      <c r="I17" s="48">
        <f>+ยอดเบิกตามทะเบียน!D21</f>
        <v>1070863.73</v>
      </c>
      <c r="J17" s="159">
        <f t="shared" si="2"/>
        <v>-1070863.73</v>
      </c>
      <c r="K17" s="158">
        <f>+'ยอดเบิกตาม GFMIS'!F21</f>
        <v>0</v>
      </c>
      <c r="L17" s="48">
        <f>+ยอดเบิกตามทะเบียน!F21</f>
        <v>0</v>
      </c>
      <c r="M17" s="159">
        <f t="shared" si="3"/>
        <v>0</v>
      </c>
      <c r="N17" s="158">
        <f>+'ยอดเบิกตาม GFMIS'!H21</f>
        <v>1070863.73</v>
      </c>
      <c r="O17" s="48">
        <f>+ยอดเบิกตามทะเบียน!H21</f>
        <v>0</v>
      </c>
      <c r="P17" s="159">
        <f t="shared" si="4"/>
        <v>1070863.73</v>
      </c>
      <c r="Q17" s="158">
        <f>+'ยอดเบิกตาม GFMIS'!J21</f>
        <v>189900</v>
      </c>
      <c r="R17" s="48">
        <f>+ยอดเบิกตามทะเบียน!J21</f>
        <v>189900</v>
      </c>
      <c r="S17" s="159">
        <f t="shared" si="5"/>
        <v>0</v>
      </c>
      <c r="T17" s="158">
        <f>+'ยอดเบิกตาม GFMIS'!L21</f>
        <v>1260763.73</v>
      </c>
      <c r="U17" s="48">
        <f>+ยอดเบิกตามทะเบียน!L21</f>
        <v>1260763.73</v>
      </c>
      <c r="V17" s="159">
        <f t="shared" si="6"/>
        <v>0</v>
      </c>
      <c r="W17" s="158">
        <f>+'[22]ยอเบิกตาม GFMIS'!N21</f>
        <v>2185400</v>
      </c>
      <c r="X17" s="48">
        <f>+ยอดเบิกตามทะเบียน!N21</f>
        <v>1114536.27</v>
      </c>
      <c r="Y17" s="159">
        <f t="shared" si="7"/>
        <v>1070863.73</v>
      </c>
      <c r="Z17" s="160">
        <f>+'ยอดเบิกตาม GFMIS'!P21</f>
        <v>1114536.27</v>
      </c>
      <c r="AA17" s="48">
        <f>+ยอดเบิกตามทะเบียน!P21</f>
        <v>1114536.27</v>
      </c>
      <c r="AB17" s="159">
        <f t="shared" si="8"/>
        <v>0</v>
      </c>
    </row>
    <row r="18" spans="1:28" s="37" customFormat="1" ht="21">
      <c r="A18" s="161" t="s">
        <v>135</v>
      </c>
      <c r="B18" s="158">
        <f>+'ยอดเบิกตาม GFMIS'!B22</f>
        <v>17444700</v>
      </c>
      <c r="C18" s="48">
        <f>+ยอดเบิกตามทะเบียน!B22</f>
        <v>17444700</v>
      </c>
      <c r="D18" s="159">
        <f t="shared" si="0"/>
        <v>0</v>
      </c>
      <c r="E18" s="158">
        <f>+'ยอดเบิกตาม GFMIS'!C22</f>
        <v>9910000</v>
      </c>
      <c r="F18" s="48">
        <f>+ยอดเบิกตามทะเบียน!C22</f>
        <v>9910000</v>
      </c>
      <c r="G18" s="159">
        <f t="shared" si="1"/>
        <v>0</v>
      </c>
      <c r="H18" s="158">
        <f>+'ยอดเบิกตาม GFMIS'!D22</f>
        <v>0</v>
      </c>
      <c r="I18" s="48">
        <f>+ยอดเบิกตามทะเบียน!D22</f>
        <v>1070863.73</v>
      </c>
      <c r="J18" s="159">
        <f t="shared" si="2"/>
        <v>-1070863.73</v>
      </c>
      <c r="K18" s="158">
        <f>+'ยอดเบิกตาม GFMIS'!F22</f>
        <v>0</v>
      </c>
      <c r="L18" s="48">
        <f>+ยอดเบิกตามทะเบียน!F22</f>
        <v>509729.58999999997</v>
      </c>
      <c r="M18" s="159">
        <f t="shared" si="3"/>
        <v>-509729.58999999997</v>
      </c>
      <c r="N18" s="158">
        <f>+'ยอดเบิกตาม GFMIS'!H22</f>
        <v>4254012.58</v>
      </c>
      <c r="O18" s="48">
        <f>+ยอดเบิกตามทะเบียน!H22</f>
        <v>85600</v>
      </c>
      <c r="P18" s="159">
        <f t="shared" si="4"/>
        <v>4168412.58</v>
      </c>
      <c r="Q18" s="158">
        <f>+'ยอดเบิกตาม GFMIS'!J22</f>
        <v>1399832.15</v>
      </c>
      <c r="R18" s="48">
        <f>+ยอดเบิกตามทะเบียน!J22</f>
        <v>1399832.1500000001</v>
      </c>
      <c r="S18" s="159">
        <f t="shared" si="5"/>
        <v>0</v>
      </c>
      <c r="T18" s="158">
        <f>+'ยอดเบิกตาม GFMIS'!L22</f>
        <v>5653844.7300000004</v>
      </c>
      <c r="U18" s="48">
        <f>+ยอดเบิกตามทะเบียน!L22</f>
        <v>3066025.47</v>
      </c>
      <c r="V18" s="159">
        <f t="shared" si="6"/>
        <v>2587819.2600000002</v>
      </c>
      <c r="W18" s="158">
        <f>+'[22]ยอเบิกตาม GFMIS'!N22</f>
        <v>7616690</v>
      </c>
      <c r="X18" s="48">
        <f>+ยอดเบิกตามทะเบียน!N22</f>
        <v>6843974.5299999993</v>
      </c>
      <c r="Y18" s="159">
        <f t="shared" si="7"/>
        <v>772715.47000000067</v>
      </c>
      <c r="Z18" s="160">
        <f>+'ยอดเบิกตาม GFMIS'!P22</f>
        <v>11790855.27</v>
      </c>
      <c r="AA18" s="48">
        <f>+ยอดเบิกตามทะเบียน!P22</f>
        <v>14378674.529999999</v>
      </c>
      <c r="AB18" s="159">
        <f t="shared" si="8"/>
        <v>-2587819.2599999998</v>
      </c>
    </row>
    <row r="19" spans="1:28" s="1" customFormat="1" ht="21">
      <c r="A19" s="161" t="s">
        <v>140</v>
      </c>
      <c r="B19" s="158">
        <f>+'ยอดเบิกตาม GFMIS'!B23</f>
        <v>0</v>
      </c>
      <c r="C19" s="48">
        <f>+ยอดเบิกตามทะเบียน!B23</f>
        <v>0</v>
      </c>
      <c r="D19" s="159">
        <f t="shared" si="0"/>
        <v>0</v>
      </c>
      <c r="E19" s="158">
        <f>+'ยอดเบิกตาม GFMIS'!C23</f>
        <v>0</v>
      </c>
      <c r="F19" s="48">
        <f>+ยอดเบิกตามทะเบียน!C23</f>
        <v>0</v>
      </c>
      <c r="G19" s="159">
        <f t="shared" si="1"/>
        <v>0</v>
      </c>
      <c r="H19" s="158">
        <f>+'ยอดเบิกตาม GFMIS'!D23</f>
        <v>0</v>
      </c>
      <c r="I19" s="48">
        <f>+ยอดเบิกตามทะเบียน!D23</f>
        <v>0</v>
      </c>
      <c r="J19" s="159">
        <f t="shared" si="2"/>
        <v>0</v>
      </c>
      <c r="K19" s="158">
        <f>+'ยอดเบิกตาม GFMIS'!F23</f>
        <v>0</v>
      </c>
      <c r="L19" s="48">
        <f>+ยอดเบิกตามทะเบียน!F23</f>
        <v>0</v>
      </c>
      <c r="M19" s="159">
        <f t="shared" si="3"/>
        <v>0</v>
      </c>
      <c r="N19" s="158">
        <f>+'ยอดเบิกตาม GFMIS'!H23</f>
        <v>0</v>
      </c>
      <c r="O19" s="48">
        <f>+ยอดเบิกตามทะเบียน!H23</f>
        <v>0</v>
      </c>
      <c r="P19" s="159">
        <f t="shared" si="4"/>
        <v>0</v>
      </c>
      <c r="Q19" s="158">
        <f>+'ยอดเบิกตาม GFMIS'!J23</f>
        <v>0</v>
      </c>
      <c r="R19" s="48">
        <f>+ยอดเบิกตามทะเบียน!J23</f>
        <v>0</v>
      </c>
      <c r="S19" s="159">
        <f t="shared" si="5"/>
        <v>0</v>
      </c>
      <c r="T19" s="158">
        <f>+'ยอดเบิกตาม GFMIS'!L23</f>
        <v>0</v>
      </c>
      <c r="U19" s="48">
        <f>+ยอดเบิกตามทะเบียน!L23</f>
        <v>0</v>
      </c>
      <c r="V19" s="159">
        <f t="shared" si="6"/>
        <v>0</v>
      </c>
      <c r="W19" s="158">
        <f>+'[22]ยอเบิกตาม GFMIS'!N23</f>
        <v>0</v>
      </c>
      <c r="X19" s="48">
        <f>+ยอดเบิกตามทะเบียน!N23</f>
        <v>0</v>
      </c>
      <c r="Y19" s="159">
        <f t="shared" si="7"/>
        <v>0</v>
      </c>
      <c r="Z19" s="160">
        <f>+'ยอดเบิกตาม GFMIS'!P23</f>
        <v>0</v>
      </c>
      <c r="AA19" s="48">
        <f>+ยอดเบิกตามทะเบียน!P23</f>
        <v>0</v>
      </c>
      <c r="AB19" s="159">
        <f t="shared" si="8"/>
        <v>0</v>
      </c>
    </row>
    <row r="20" spans="1:28" s="1" customFormat="1" ht="21">
      <c r="A20" s="157" t="s">
        <v>134</v>
      </c>
      <c r="B20" s="158">
        <f>+'ยอดเบิกตาม GFMIS'!B24</f>
        <v>179635700</v>
      </c>
      <c r="C20" s="48">
        <f>+ยอดเบิกตามทะเบียน!B24</f>
        <v>179635700</v>
      </c>
      <c r="D20" s="159">
        <f t="shared" si="0"/>
        <v>0</v>
      </c>
      <c r="E20" s="158">
        <f>+'ยอดเบิกตาม GFMIS'!C24</f>
        <v>89810300</v>
      </c>
      <c r="F20" s="48">
        <f>+ยอดเบิกตามทะเบียน!C24</f>
        <v>89810300</v>
      </c>
      <c r="G20" s="159">
        <f t="shared" si="1"/>
        <v>0</v>
      </c>
      <c r="H20" s="158">
        <f>+'ยอดเบิกตาม GFMIS'!D24</f>
        <v>0</v>
      </c>
      <c r="I20" s="48">
        <f>+ยอดเบิกตามทะเบียน!D24</f>
        <v>302249</v>
      </c>
      <c r="J20" s="159">
        <f t="shared" si="2"/>
        <v>-302249</v>
      </c>
      <c r="K20" s="158">
        <f>+'ยอดเบิกตาม GFMIS'!F24</f>
        <v>0</v>
      </c>
      <c r="L20" s="48">
        <f>+ยอดเบิกตามทะเบียน!F24</f>
        <v>1534585.12</v>
      </c>
      <c r="M20" s="159">
        <f t="shared" si="3"/>
        <v>-1534585.12</v>
      </c>
      <c r="N20" s="158">
        <f>+'ยอดเบิกตาม GFMIS'!H24</f>
        <v>23243727.300000001</v>
      </c>
      <c r="O20" s="48">
        <f>+ยอดเบิกตามทะเบียน!H24</f>
        <v>1030410.8500000001</v>
      </c>
      <c r="P20" s="159">
        <f t="shared" si="4"/>
        <v>22213316.449999999</v>
      </c>
      <c r="Q20" s="158">
        <f>+'ยอดเบิกตาม GFMIS'!J24</f>
        <v>25524146.379999999</v>
      </c>
      <c r="R20" s="48">
        <f>+ยอดเบิกตามทะเบียน!J24</f>
        <v>25524146.98</v>
      </c>
      <c r="S20" s="159">
        <f t="shared" si="5"/>
        <v>-0.60000000149011612</v>
      </c>
      <c r="T20" s="158">
        <f>+'ยอดเบิกตาม GFMIS'!L24</f>
        <v>48767873.680000007</v>
      </c>
      <c r="U20" s="48">
        <f>+ยอดเบิกตามทะเบียน!L24</f>
        <v>28391391.950000003</v>
      </c>
      <c r="V20" s="159">
        <f t="shared" si="6"/>
        <v>20376481.730000004</v>
      </c>
      <c r="W20" s="158">
        <f>+'[22]ยอเบิกตาม GFMIS'!N24</f>
        <v>76071144.5</v>
      </c>
      <c r="X20" s="48">
        <f>+ยอดเบิกตามทะเบียน!N24</f>
        <v>61418908.04999999</v>
      </c>
      <c r="Y20" s="159">
        <f t="shared" si="7"/>
        <v>14652236.45000001</v>
      </c>
      <c r="Z20" s="160">
        <f>+'ยอดเบิกตาม GFMIS'!P24</f>
        <v>130867826.31999999</v>
      </c>
      <c r="AA20" s="48">
        <f>+ยอดเบิกตามทะเบียน!P24</f>
        <v>151244308.04999998</v>
      </c>
      <c r="AB20" s="159">
        <f t="shared" si="8"/>
        <v>-20376481.729999989</v>
      </c>
    </row>
    <row r="21" spans="1:28" s="1" customFormat="1" ht="21">
      <c r="A21" s="157" t="s">
        <v>137</v>
      </c>
      <c r="B21" s="158">
        <f>+'ยอดเบิกตาม GFMIS'!B25</f>
        <v>160358300</v>
      </c>
      <c r="C21" s="48">
        <f>+ยอดเบิกตามทะเบียน!B25</f>
        <v>160358300</v>
      </c>
      <c r="D21" s="159">
        <f t="shared" si="0"/>
        <v>0</v>
      </c>
      <c r="E21" s="158">
        <f>+'ยอดเบิกตาม GFMIS'!C25</f>
        <v>160358300</v>
      </c>
      <c r="F21" s="48">
        <f>+ยอดเบิกตามทะเบียน!C25</f>
        <v>160358300</v>
      </c>
      <c r="G21" s="159">
        <f t="shared" si="1"/>
        <v>0</v>
      </c>
      <c r="H21" s="158">
        <f>+'ยอดเบิกตาม GFMIS'!D25</f>
        <v>0</v>
      </c>
      <c r="I21" s="48">
        <f>+ยอดเบิกตามทะเบียน!D25</f>
        <v>337500</v>
      </c>
      <c r="J21" s="159">
        <f t="shared" si="2"/>
        <v>-337500</v>
      </c>
      <c r="K21" s="158">
        <f>+'ยอดเบิกตาม GFMIS'!F25</f>
        <v>0</v>
      </c>
      <c r="L21" s="48">
        <f>+ยอดเบิกตามทะเบียน!F25</f>
        <v>0</v>
      </c>
      <c r="M21" s="159">
        <f t="shared" si="3"/>
        <v>0</v>
      </c>
      <c r="N21" s="158">
        <f>+'ยอดเบิกตาม GFMIS'!H25</f>
        <v>1250269.76</v>
      </c>
      <c r="O21" s="48">
        <f>+ยอดเบิกตามทะเบียน!H25</f>
        <v>0</v>
      </c>
      <c r="P21" s="159">
        <f t="shared" si="4"/>
        <v>1250269.76</v>
      </c>
      <c r="Q21" s="158">
        <f>+'ยอดเบิกตาม GFMIS'!J25</f>
        <v>935227.4</v>
      </c>
      <c r="R21" s="48">
        <f>+ยอดเบิกตามทะเบียน!J25</f>
        <v>935227.4</v>
      </c>
      <c r="S21" s="159">
        <f t="shared" si="5"/>
        <v>0</v>
      </c>
      <c r="T21" s="158">
        <f>+'ยอดเบิกตาม GFMIS'!L25</f>
        <v>2185497.16</v>
      </c>
      <c r="U21" s="48">
        <f>+ยอดเบิกตามทะเบียน!L25</f>
        <v>1272727.3999999999</v>
      </c>
      <c r="V21" s="159">
        <f t="shared" si="6"/>
        <v>912769.76000000024</v>
      </c>
      <c r="W21" s="158">
        <f>+'[22]ยอเบิกตาม GFMIS'!N25</f>
        <v>160348700</v>
      </c>
      <c r="X21" s="48">
        <f>+ยอดเบิกตามทะเบียน!N25</f>
        <v>159085572.59999999</v>
      </c>
      <c r="Y21" s="159">
        <f t="shared" si="7"/>
        <v>1263127.400000006</v>
      </c>
      <c r="Z21" s="160">
        <f>+'ยอดเบิกตาม GFMIS'!P25</f>
        <v>158172802.84</v>
      </c>
      <c r="AA21" s="48">
        <f>+ยอดเบิกตามทะเบียน!P25</f>
        <v>159085572.59999999</v>
      </c>
      <c r="AB21" s="159">
        <f t="shared" si="8"/>
        <v>-912769.75999999046</v>
      </c>
    </row>
    <row r="22" spans="1:28" s="1" customFormat="1" ht="21">
      <c r="A22" s="157" t="s">
        <v>138</v>
      </c>
      <c r="B22" s="158">
        <f>+'ยอดเบิกตาม GFMIS'!B26</f>
        <v>4015000</v>
      </c>
      <c r="C22" s="48">
        <f>+ยอดเบิกตามทะเบียน!B26</f>
        <v>4015000</v>
      </c>
      <c r="D22" s="159">
        <f t="shared" si="0"/>
        <v>0</v>
      </c>
      <c r="E22" s="158">
        <f>+'ยอดเบิกตาม GFMIS'!C26</f>
        <v>2015000</v>
      </c>
      <c r="F22" s="48">
        <f>+ยอดเบิกตามทะเบียน!C26</f>
        <v>2015000</v>
      </c>
      <c r="G22" s="159">
        <f t="shared" si="1"/>
        <v>0</v>
      </c>
      <c r="H22" s="158">
        <f>+'ยอดเบิกตาม GFMIS'!D26</f>
        <v>0</v>
      </c>
      <c r="I22" s="48">
        <f>+ยอดเบิกตามทะเบียน!D26</f>
        <v>0</v>
      </c>
      <c r="J22" s="159">
        <f t="shared" si="2"/>
        <v>0</v>
      </c>
      <c r="K22" s="158">
        <f>+'ยอดเบิกตาม GFMIS'!F26</f>
        <v>0</v>
      </c>
      <c r="L22" s="48">
        <f>+ยอดเบิกตามทะเบียน!F26</f>
        <v>1000</v>
      </c>
      <c r="M22" s="159">
        <f t="shared" si="3"/>
        <v>-1000</v>
      </c>
      <c r="N22" s="158">
        <f>+'ยอดเบิกตาม GFMIS'!H26</f>
        <v>0</v>
      </c>
      <c r="O22" s="48">
        <f>+ยอดเบิกตามทะเบียน!H26</f>
        <v>0</v>
      </c>
      <c r="P22" s="159">
        <f t="shared" si="4"/>
        <v>0</v>
      </c>
      <c r="Q22" s="158">
        <f>+'ยอดเบิกตาม GFMIS'!J26</f>
        <v>242461.5</v>
      </c>
      <c r="R22" s="48">
        <f>+ยอดเบิกตามทะเบียน!J26</f>
        <v>242461.49999999997</v>
      </c>
      <c r="S22" s="159">
        <f t="shared" si="5"/>
        <v>0</v>
      </c>
      <c r="T22" s="158">
        <f>+'ยอดเบิกตาม GFMIS'!L26</f>
        <v>242461.5</v>
      </c>
      <c r="U22" s="48">
        <f>+ยอดเบิกตามทะเบียน!L26</f>
        <v>243461.49999999997</v>
      </c>
      <c r="V22" s="159">
        <f t="shared" si="6"/>
        <v>-999.9999999999709</v>
      </c>
      <c r="W22" s="158">
        <f>+'[22]ยอเบิกตาม GFMIS'!N26</f>
        <v>2000000</v>
      </c>
      <c r="X22" s="48">
        <f>+ยอดเบิกตามทะเบียน!N26</f>
        <v>1771538.5</v>
      </c>
      <c r="Y22" s="159">
        <f t="shared" si="7"/>
        <v>228461.5</v>
      </c>
      <c r="Z22" s="160">
        <f>+'ยอดเบิกตาม GFMIS'!P26</f>
        <v>3772538.5</v>
      </c>
      <c r="AA22" s="48">
        <f>+ยอดเบิกตามทะเบียน!P26</f>
        <v>3771538.5</v>
      </c>
      <c r="AB22" s="159">
        <f t="shared" si="8"/>
        <v>1000</v>
      </c>
    </row>
    <row r="23" spans="1:28" s="37" customFormat="1" ht="21">
      <c r="A23" s="161" t="s">
        <v>141</v>
      </c>
      <c r="B23" s="158">
        <f>+'ยอดเบิกตาม GFMIS'!B27</f>
        <v>344009000</v>
      </c>
      <c r="C23" s="48">
        <f>+ยอดเบิกตามทะเบียน!B27</f>
        <v>344009000</v>
      </c>
      <c r="D23" s="159">
        <f t="shared" si="0"/>
        <v>0</v>
      </c>
      <c r="E23" s="158">
        <f>+'ยอดเบิกตาม GFMIS'!C27</f>
        <v>252183600</v>
      </c>
      <c r="F23" s="48">
        <f>+ยอดเบิกตามทะเบียน!C27</f>
        <v>252183600</v>
      </c>
      <c r="G23" s="159">
        <f t="shared" si="1"/>
        <v>0</v>
      </c>
      <c r="H23" s="158">
        <f>+'ยอดเบิกตาม GFMIS'!D27</f>
        <v>0</v>
      </c>
      <c r="I23" s="48">
        <f>+ยอดเบิกตามทะเบียน!D27</f>
        <v>639749</v>
      </c>
      <c r="J23" s="159">
        <f t="shared" si="2"/>
        <v>-639749</v>
      </c>
      <c r="K23" s="158">
        <f>+'ยอดเบิกตาม GFMIS'!F27</f>
        <v>0</v>
      </c>
      <c r="L23" s="48">
        <f>+ยอดเบิกตามทะเบียน!F27</f>
        <v>1535585.12</v>
      </c>
      <c r="M23" s="159">
        <f t="shared" si="3"/>
        <v>-1535585.12</v>
      </c>
      <c r="N23" s="158">
        <f>+'ยอดเบิกตาม GFMIS'!H27</f>
        <v>24493997.060000002</v>
      </c>
      <c r="O23" s="48">
        <f>+ยอดเบิกตามทะเบียน!H27</f>
        <v>1030410.8500000001</v>
      </c>
      <c r="P23" s="159">
        <f t="shared" si="4"/>
        <v>23463586.210000001</v>
      </c>
      <c r="Q23" s="158">
        <f>+'ยอดเบิกตาม GFMIS'!J27</f>
        <v>26701835.279999997</v>
      </c>
      <c r="R23" s="48">
        <f>+ยอดเบิกตามทะเบียน!J27</f>
        <v>26701835.879999999</v>
      </c>
      <c r="S23" s="159">
        <f t="shared" si="5"/>
        <v>-0.60000000149011612</v>
      </c>
      <c r="T23" s="158">
        <f>+'ยอดเบิกตาม GFMIS'!L27</f>
        <v>51195832.340000004</v>
      </c>
      <c r="U23" s="48">
        <f>+ยอดเบิกตามทะเบียน!L27</f>
        <v>29907580.850000001</v>
      </c>
      <c r="V23" s="159">
        <f t="shared" si="6"/>
        <v>21288251.490000002</v>
      </c>
      <c r="W23" s="158">
        <f>+'[22]ยอเบิกตาม GFMIS'!N27</f>
        <v>238419844.5</v>
      </c>
      <c r="X23" s="48">
        <f>+ยอดเบิกตามทะเบียน!N27</f>
        <v>222276019.14999998</v>
      </c>
      <c r="Y23" s="159">
        <f t="shared" si="7"/>
        <v>16143825.350000024</v>
      </c>
      <c r="Z23" s="160">
        <f>+'ยอดเบิกตาม GFMIS'!P27</f>
        <v>292813167.65999997</v>
      </c>
      <c r="AA23" s="48">
        <f>+ยอดเบิกตามทะเบียน!P27</f>
        <v>314101419.14999998</v>
      </c>
      <c r="AB23" s="159">
        <f t="shared" si="8"/>
        <v>-21288251.49000001</v>
      </c>
    </row>
    <row r="24" spans="1:28" s="1" customFormat="1" ht="21">
      <c r="A24" s="153" t="s">
        <v>142</v>
      </c>
      <c r="B24" s="158">
        <f>+'ยอดเบิกตาม GFMIS'!B28</f>
        <v>0</v>
      </c>
      <c r="C24" s="48">
        <f>+ยอดเบิกตามทะเบียน!B28</f>
        <v>0</v>
      </c>
      <c r="D24" s="159">
        <f t="shared" si="0"/>
        <v>0</v>
      </c>
      <c r="E24" s="158">
        <f>+'ยอดเบิกตาม GFMIS'!C28</f>
        <v>0</v>
      </c>
      <c r="F24" s="48">
        <f>+ยอดเบิกตามทะเบียน!C28</f>
        <v>0</v>
      </c>
      <c r="G24" s="159">
        <f t="shared" si="1"/>
        <v>0</v>
      </c>
      <c r="H24" s="158">
        <f>+'ยอดเบิกตาม GFMIS'!D28</f>
        <v>0</v>
      </c>
      <c r="I24" s="48">
        <f>+ยอดเบิกตามทะเบียน!D28</f>
        <v>0</v>
      </c>
      <c r="J24" s="159">
        <f t="shared" si="2"/>
        <v>0</v>
      </c>
      <c r="K24" s="158">
        <f>+'ยอดเบิกตาม GFMIS'!F28</f>
        <v>0</v>
      </c>
      <c r="L24" s="48">
        <f>+ยอดเบิกตามทะเบียน!F28</f>
        <v>0</v>
      </c>
      <c r="M24" s="159">
        <f t="shared" si="3"/>
        <v>0</v>
      </c>
      <c r="N24" s="158">
        <f>+'ยอดเบิกตาม GFMIS'!H28</f>
        <v>0</v>
      </c>
      <c r="O24" s="48">
        <f>+ยอดเบิกตามทะเบียน!H28</f>
        <v>0</v>
      </c>
      <c r="P24" s="159">
        <f t="shared" si="4"/>
        <v>0</v>
      </c>
      <c r="Q24" s="158">
        <f>+'ยอดเบิกตาม GFMIS'!J28</f>
        <v>0</v>
      </c>
      <c r="R24" s="48">
        <f>+ยอดเบิกตามทะเบียน!J28</f>
        <v>0</v>
      </c>
      <c r="S24" s="159">
        <f t="shared" si="5"/>
        <v>0</v>
      </c>
      <c r="T24" s="158">
        <f>+'ยอดเบิกตาม GFMIS'!L28</f>
        <v>0</v>
      </c>
      <c r="U24" s="48">
        <f>+ยอดเบิกตามทะเบียน!L28</f>
        <v>0</v>
      </c>
      <c r="V24" s="159">
        <f t="shared" si="6"/>
        <v>0</v>
      </c>
      <c r="W24" s="158">
        <f>+'[22]ยอเบิกตาม GFMIS'!N28</f>
        <v>0</v>
      </c>
      <c r="X24" s="48">
        <f>+ยอดเบิกตามทะเบียน!N28</f>
        <v>0</v>
      </c>
      <c r="Y24" s="159">
        <f t="shared" si="7"/>
        <v>0</v>
      </c>
      <c r="Z24" s="160">
        <f>+'ยอดเบิกตาม GFMIS'!P28</f>
        <v>0</v>
      </c>
      <c r="AA24" s="48">
        <f>+ยอดเบิกตามทะเบียน!P28</f>
        <v>0</v>
      </c>
      <c r="AB24" s="159">
        <f t="shared" si="8"/>
        <v>0</v>
      </c>
    </row>
    <row r="25" spans="1:28" s="1" customFormat="1" ht="21">
      <c r="A25" s="157" t="s">
        <v>134</v>
      </c>
      <c r="B25" s="158">
        <f>+'ยอดเบิกตาม GFMIS'!B29</f>
        <v>70879700</v>
      </c>
      <c r="C25" s="48">
        <f>+ยอดเบิกตามทะเบียน!B29</f>
        <v>70879700</v>
      </c>
      <c r="D25" s="159">
        <f t="shared" si="0"/>
        <v>0</v>
      </c>
      <c r="E25" s="158">
        <f>+'ยอดเบิกตาม GFMIS'!C29</f>
        <v>35439800</v>
      </c>
      <c r="F25" s="48">
        <f>+ยอดเบิกตามทะเบียน!C29</f>
        <v>35439800</v>
      </c>
      <c r="G25" s="159">
        <f t="shared" si="1"/>
        <v>0</v>
      </c>
      <c r="H25" s="158">
        <f>+'ยอดเบิกตาม GFMIS'!D29</f>
        <v>0</v>
      </c>
      <c r="I25" s="48">
        <f>+ยอดเบิกตามทะเบียน!D29</f>
        <v>0</v>
      </c>
      <c r="J25" s="159">
        <f t="shared" si="2"/>
        <v>0</v>
      </c>
      <c r="K25" s="158">
        <f>+'ยอดเบิกตาม GFMIS'!F29</f>
        <v>0</v>
      </c>
      <c r="L25" s="48">
        <f>+ยอดเบิกตามทะเบียน!F29</f>
        <v>65700</v>
      </c>
      <c r="M25" s="159">
        <f t="shared" si="3"/>
        <v>-65700</v>
      </c>
      <c r="N25" s="158">
        <f>+'ยอดเบิกตาม GFMIS'!H29</f>
        <v>4486990</v>
      </c>
      <c r="O25" s="48">
        <f>+ยอดเบิกตามทะเบียน!H29</f>
        <v>132680</v>
      </c>
      <c r="P25" s="159">
        <f t="shared" si="4"/>
        <v>4354310</v>
      </c>
      <c r="Q25" s="158">
        <f>+'ยอดเบิกตาม GFMIS'!J29</f>
        <v>2374177.0299999998</v>
      </c>
      <c r="R25" s="48">
        <f>+ยอดเบิกตามทะเบียน!J29</f>
        <v>2374177.0299999998</v>
      </c>
      <c r="S25" s="159">
        <f t="shared" si="5"/>
        <v>0</v>
      </c>
      <c r="T25" s="158">
        <f>+'ยอดเบิกตาม GFMIS'!L29</f>
        <v>6861167.0299999993</v>
      </c>
      <c r="U25" s="48">
        <f>+ยอดเบิกตามทะเบียน!L29</f>
        <v>2572557.0299999998</v>
      </c>
      <c r="V25" s="159">
        <f t="shared" si="6"/>
        <v>4288610</v>
      </c>
      <c r="W25" s="158">
        <f>+'[22]ยอเบิกตาม GFMIS'!N29</f>
        <v>35439800</v>
      </c>
      <c r="X25" s="48">
        <f>+ยอดเบิกตามทะเบียน!N29</f>
        <v>32867242.969999999</v>
      </c>
      <c r="Y25" s="159">
        <f t="shared" si="7"/>
        <v>2572557.0300000012</v>
      </c>
      <c r="Z25" s="160">
        <f>+'ยอดเบิกตาม GFMIS'!P29</f>
        <v>64018532.969999999</v>
      </c>
      <c r="AA25" s="48">
        <f>+ยอดเบิกตามทะเบียน!P29</f>
        <v>68307142.969999999</v>
      </c>
      <c r="AB25" s="159">
        <f t="shared" si="8"/>
        <v>-4288610</v>
      </c>
    </row>
    <row r="26" spans="1:28" s="1" customFormat="1" ht="21">
      <c r="A26" s="157" t="s">
        <v>137</v>
      </c>
      <c r="B26" s="158">
        <f>+'ยอดเบิกตาม GFMIS'!B30</f>
        <v>58911700</v>
      </c>
      <c r="C26" s="48">
        <f>+ยอดเบิกตามทะเบียน!B30</f>
        <v>58911700</v>
      </c>
      <c r="D26" s="159">
        <f t="shared" si="0"/>
        <v>0</v>
      </c>
      <c r="E26" s="158">
        <f>+'ยอดเบิกตาม GFMIS'!C30</f>
        <v>58911700</v>
      </c>
      <c r="F26" s="48">
        <f>+ยอดเบิกตามทะเบียน!C30</f>
        <v>58911700</v>
      </c>
      <c r="G26" s="159">
        <f t="shared" si="1"/>
        <v>0</v>
      </c>
      <c r="H26" s="158">
        <f>+'ยอดเบิกตาม GFMIS'!D30</f>
        <v>0</v>
      </c>
      <c r="I26" s="48">
        <f>+ยอดเบิกตามทะเบียน!D30</f>
        <v>0</v>
      </c>
      <c r="J26" s="159">
        <f t="shared" si="2"/>
        <v>0</v>
      </c>
      <c r="K26" s="158">
        <f>+'ยอดเบิกตาม GFMIS'!F30</f>
        <v>0</v>
      </c>
      <c r="L26" s="48">
        <f>+ยอดเบิกตามทะเบียน!F30</f>
        <v>0</v>
      </c>
      <c r="M26" s="159">
        <f t="shared" si="3"/>
        <v>0</v>
      </c>
      <c r="N26" s="158">
        <f>+'ยอดเบิกตาม GFMIS'!H30</f>
        <v>0</v>
      </c>
      <c r="O26" s="48">
        <f>+ยอดเบิกตามทะเบียน!H30</f>
        <v>0</v>
      </c>
      <c r="P26" s="159">
        <f t="shared" si="4"/>
        <v>0</v>
      </c>
      <c r="Q26" s="158">
        <f>+'ยอดเบิกตาม GFMIS'!J30</f>
        <v>0</v>
      </c>
      <c r="R26" s="48">
        <f>+ยอดเบิกตามทะเบียน!J30</f>
        <v>0</v>
      </c>
      <c r="S26" s="159">
        <f t="shared" si="5"/>
        <v>0</v>
      </c>
      <c r="T26" s="158">
        <f>+'ยอดเบิกตาม GFMIS'!L30</f>
        <v>0</v>
      </c>
      <c r="U26" s="48">
        <f>+ยอดเบิกตามทะเบียน!L30</f>
        <v>0</v>
      </c>
      <c r="V26" s="159">
        <f t="shared" si="6"/>
        <v>0</v>
      </c>
      <c r="W26" s="158">
        <f>+'[22]ยอเบิกตาม GFMIS'!N30</f>
        <v>58911700</v>
      </c>
      <c r="X26" s="48">
        <f>+ยอดเบิกตามทะเบียน!N30</f>
        <v>58911700</v>
      </c>
      <c r="Y26" s="159">
        <f t="shared" si="7"/>
        <v>0</v>
      </c>
      <c r="Z26" s="160">
        <f>+'ยอดเบิกตาม GFMIS'!P30</f>
        <v>58911700</v>
      </c>
      <c r="AA26" s="48">
        <f>+ยอดเบิกตามทะเบียน!P30</f>
        <v>58911700</v>
      </c>
      <c r="AB26" s="159">
        <f t="shared" si="8"/>
        <v>0</v>
      </c>
    </row>
    <row r="27" spans="1:28" s="37" customFormat="1" ht="21">
      <c r="A27" s="161" t="s">
        <v>135</v>
      </c>
      <c r="B27" s="158">
        <f>+'ยอดเบิกตาม GFMIS'!B31</f>
        <v>129791400</v>
      </c>
      <c r="C27" s="48">
        <f>+ยอดเบิกตามทะเบียน!B31</f>
        <v>129791400</v>
      </c>
      <c r="D27" s="159">
        <f t="shared" si="0"/>
        <v>0</v>
      </c>
      <c r="E27" s="158">
        <f>+'ยอดเบิกตาม GFMIS'!C31</f>
        <v>94351500</v>
      </c>
      <c r="F27" s="48">
        <f>+ยอดเบิกตามทะเบียน!C31</f>
        <v>94351500</v>
      </c>
      <c r="G27" s="159">
        <f t="shared" si="1"/>
        <v>0</v>
      </c>
      <c r="H27" s="158">
        <f>+'ยอดเบิกตาม GFMIS'!D31</f>
        <v>0</v>
      </c>
      <c r="I27" s="48">
        <f>+ยอดเบิกตามทะเบียน!D31</f>
        <v>0</v>
      </c>
      <c r="J27" s="159">
        <f t="shared" si="2"/>
        <v>0</v>
      </c>
      <c r="K27" s="158">
        <f>+'ยอดเบิกตาม GFMIS'!F31</f>
        <v>0</v>
      </c>
      <c r="L27" s="48">
        <f>+ยอดเบิกตามทะเบียน!F31</f>
        <v>65700</v>
      </c>
      <c r="M27" s="159">
        <f t="shared" si="3"/>
        <v>-65700</v>
      </c>
      <c r="N27" s="158">
        <f>+'ยอดเบิกตาม GFMIS'!H31</f>
        <v>4486990</v>
      </c>
      <c r="O27" s="48">
        <f>+ยอดเบิกตามทะเบียน!H31</f>
        <v>132680</v>
      </c>
      <c r="P27" s="159">
        <f t="shared" si="4"/>
        <v>4354310</v>
      </c>
      <c r="Q27" s="158">
        <f>+'ยอดเบิกตาม GFMIS'!J31</f>
        <v>2374177.0299999998</v>
      </c>
      <c r="R27" s="48">
        <f>+ยอดเบิกตามทะเบียน!J31</f>
        <v>2374177.0299999998</v>
      </c>
      <c r="S27" s="159">
        <f t="shared" si="5"/>
        <v>0</v>
      </c>
      <c r="T27" s="158">
        <f>+'ยอดเบิกตาม GFMIS'!L31</f>
        <v>6861167.0299999993</v>
      </c>
      <c r="U27" s="48">
        <f>+ยอดเบิกตามทะเบียน!L31</f>
        <v>2572557.0299999998</v>
      </c>
      <c r="V27" s="159">
        <f t="shared" si="6"/>
        <v>4288610</v>
      </c>
      <c r="W27" s="158">
        <f>+'[22]ยอเบิกตาม GFMIS'!N31</f>
        <v>94351500</v>
      </c>
      <c r="X27" s="48">
        <f>+ยอดเบิกตามทะเบียน!N31</f>
        <v>91778942.969999999</v>
      </c>
      <c r="Y27" s="159">
        <f t="shared" si="7"/>
        <v>2572557.0300000012</v>
      </c>
      <c r="Z27" s="160">
        <f>+'ยอดเบิกตาม GFMIS'!P31</f>
        <v>122930232.97</v>
      </c>
      <c r="AA27" s="48">
        <f>+ยอดเบิกตามทะเบียน!P31</f>
        <v>127218842.97</v>
      </c>
      <c r="AB27" s="159">
        <f t="shared" si="8"/>
        <v>-4288610</v>
      </c>
    </row>
    <row r="28" spans="1:28" s="1" customFormat="1" ht="21">
      <c r="A28" s="153" t="s">
        <v>143</v>
      </c>
      <c r="B28" s="158">
        <f>+'ยอดเบิกตาม GFMIS'!B32</f>
        <v>0</v>
      </c>
      <c r="C28" s="48">
        <f>+ยอดเบิกตามทะเบียน!B32</f>
        <v>0</v>
      </c>
      <c r="D28" s="159">
        <f t="shared" si="0"/>
        <v>0</v>
      </c>
      <c r="E28" s="158">
        <f>+'ยอดเบิกตาม GFMIS'!C32</f>
        <v>0</v>
      </c>
      <c r="F28" s="48">
        <f>+ยอดเบิกตามทะเบียน!C32</f>
        <v>0</v>
      </c>
      <c r="G28" s="159">
        <f t="shared" si="1"/>
        <v>0</v>
      </c>
      <c r="H28" s="158">
        <f>+'ยอดเบิกตาม GFMIS'!D32</f>
        <v>0</v>
      </c>
      <c r="I28" s="48">
        <f>+ยอดเบิกตามทะเบียน!D32</f>
        <v>0</v>
      </c>
      <c r="J28" s="159">
        <f t="shared" si="2"/>
        <v>0</v>
      </c>
      <c r="K28" s="158">
        <f>+'ยอดเบิกตาม GFMIS'!F32</f>
        <v>0</v>
      </c>
      <c r="L28" s="48">
        <f>+ยอดเบิกตามทะเบียน!F32</f>
        <v>0</v>
      </c>
      <c r="M28" s="159">
        <f t="shared" si="3"/>
        <v>0</v>
      </c>
      <c r="N28" s="158">
        <f>+'ยอดเบิกตาม GFMIS'!H32</f>
        <v>0</v>
      </c>
      <c r="O28" s="48">
        <f>+ยอดเบิกตามทะเบียน!H32</f>
        <v>0</v>
      </c>
      <c r="P28" s="159">
        <f t="shared" si="4"/>
        <v>0</v>
      </c>
      <c r="Q28" s="158">
        <f>+'ยอดเบิกตาม GFMIS'!J32</f>
        <v>0</v>
      </c>
      <c r="R28" s="48">
        <f>+ยอดเบิกตามทะเบียน!J32</f>
        <v>0</v>
      </c>
      <c r="S28" s="159">
        <f t="shared" si="5"/>
        <v>0</v>
      </c>
      <c r="T28" s="158">
        <f>+'ยอดเบิกตาม GFMIS'!L32</f>
        <v>0</v>
      </c>
      <c r="U28" s="48">
        <f>+ยอดเบิกตามทะเบียน!L32</f>
        <v>0</v>
      </c>
      <c r="V28" s="159">
        <f t="shared" si="6"/>
        <v>0</v>
      </c>
      <c r="W28" s="158">
        <f>+'[22]ยอเบิกตาม GFMIS'!N32</f>
        <v>0</v>
      </c>
      <c r="X28" s="48">
        <f>+ยอดเบิกตามทะเบียน!N32</f>
        <v>0</v>
      </c>
      <c r="Y28" s="159">
        <f t="shared" si="7"/>
        <v>0</v>
      </c>
      <c r="Z28" s="160">
        <f>+'ยอดเบิกตาม GFMIS'!P32</f>
        <v>0</v>
      </c>
      <c r="AA28" s="48">
        <f>+ยอดเบิกตามทะเบียน!P32</f>
        <v>0</v>
      </c>
      <c r="AB28" s="159">
        <f t="shared" si="8"/>
        <v>0</v>
      </c>
    </row>
    <row r="29" spans="1:28" s="1" customFormat="1" ht="21">
      <c r="A29" s="157" t="s">
        <v>137</v>
      </c>
      <c r="B29" s="158">
        <f>+'ยอดเบิกตาม GFMIS'!B33</f>
        <v>8500000</v>
      </c>
      <c r="C29" s="48">
        <f>+ยอดเบิกตามทะเบียน!B33</f>
        <v>8500000</v>
      </c>
      <c r="D29" s="159">
        <f t="shared" si="0"/>
        <v>0</v>
      </c>
      <c r="E29" s="158">
        <f>+'ยอดเบิกตาม GFMIS'!C33</f>
        <v>8500000</v>
      </c>
      <c r="F29" s="48">
        <f>+ยอดเบิกตามทะเบียน!C33</f>
        <v>8500000</v>
      </c>
      <c r="G29" s="159">
        <f t="shared" si="1"/>
        <v>0</v>
      </c>
      <c r="H29" s="158">
        <f>+'ยอดเบิกตาม GFMIS'!D33</f>
        <v>0</v>
      </c>
      <c r="I29" s="48">
        <f>+ยอดเบิกตามทะเบียน!D33</f>
        <v>0</v>
      </c>
      <c r="J29" s="159">
        <f t="shared" si="2"/>
        <v>0</v>
      </c>
      <c r="K29" s="158">
        <f>+'ยอดเบิกตาม GFMIS'!F33</f>
        <v>0</v>
      </c>
      <c r="L29" s="48">
        <f>+ยอดเบิกตามทะเบียน!F33</f>
        <v>0</v>
      </c>
      <c r="M29" s="159">
        <f t="shared" si="3"/>
        <v>0</v>
      </c>
      <c r="N29" s="158">
        <f>+'ยอดเบิกตาม GFMIS'!H33</f>
        <v>0</v>
      </c>
      <c r="O29" s="48">
        <f>+ยอดเบิกตามทะเบียน!H33</f>
        <v>0</v>
      </c>
      <c r="P29" s="159">
        <f t="shared" si="4"/>
        <v>0</v>
      </c>
      <c r="Q29" s="158">
        <f>+'ยอดเบิกตาม GFMIS'!J33</f>
        <v>0</v>
      </c>
      <c r="R29" s="48">
        <f>+ยอดเบิกตามทะเบียน!J33</f>
        <v>0</v>
      </c>
      <c r="S29" s="159">
        <f t="shared" si="5"/>
        <v>0</v>
      </c>
      <c r="T29" s="158">
        <f>+'ยอดเบิกตาม GFMIS'!L33</f>
        <v>0</v>
      </c>
      <c r="U29" s="48">
        <f>+ยอดเบิกตามทะเบียน!L33</f>
        <v>0</v>
      </c>
      <c r="V29" s="159">
        <f t="shared" si="6"/>
        <v>0</v>
      </c>
      <c r="W29" s="158">
        <f>+'[22]ยอเบิกตาม GFMIS'!N33</f>
        <v>8500000</v>
      </c>
      <c r="X29" s="48">
        <f>+ยอดเบิกตามทะเบียน!N33</f>
        <v>8500000</v>
      </c>
      <c r="Y29" s="159">
        <f t="shared" si="7"/>
        <v>0</v>
      </c>
      <c r="Z29" s="160">
        <f>+'ยอดเบิกตาม GFMIS'!P33</f>
        <v>8500000</v>
      </c>
      <c r="AA29" s="48">
        <f>+ยอดเบิกตามทะเบียน!P33</f>
        <v>8500000</v>
      </c>
      <c r="AB29" s="159">
        <f t="shared" si="8"/>
        <v>0</v>
      </c>
    </row>
    <row r="30" spans="1:28" s="1" customFormat="1" ht="21">
      <c r="A30" s="157" t="s">
        <v>138</v>
      </c>
      <c r="B30" s="158">
        <f>+'ยอดเบิกตาม GFMIS'!B34</f>
        <v>20700000</v>
      </c>
      <c r="C30" s="48">
        <f>+ยอดเบิกตามทะเบียน!B34</f>
        <v>20700000</v>
      </c>
      <c r="D30" s="159">
        <f t="shared" si="0"/>
        <v>0</v>
      </c>
      <c r="E30" s="158">
        <f>+'ยอดเบิกตาม GFMIS'!C34</f>
        <v>10350000</v>
      </c>
      <c r="F30" s="48">
        <f>+ยอดเบิกตามทะเบียน!C34</f>
        <v>10350000</v>
      </c>
      <c r="G30" s="159">
        <f t="shared" si="1"/>
        <v>0</v>
      </c>
      <c r="H30" s="158">
        <f>+'ยอดเบิกตาม GFMIS'!D34</f>
        <v>0</v>
      </c>
      <c r="I30" s="48">
        <f>+ยอดเบิกตามทะเบียน!D34</f>
        <v>0</v>
      </c>
      <c r="J30" s="159">
        <f t="shared" si="2"/>
        <v>0</v>
      </c>
      <c r="K30" s="158">
        <f>+'ยอดเบิกตาม GFMIS'!F34</f>
        <v>0</v>
      </c>
      <c r="L30" s="48">
        <f>+ยอดเบิกตามทะเบียน!F34</f>
        <v>47306.5</v>
      </c>
      <c r="M30" s="159">
        <f t="shared" si="3"/>
        <v>-47306.5</v>
      </c>
      <c r="N30" s="158">
        <f>+'ยอดเบิกตาม GFMIS'!H34</f>
        <v>1262349.3</v>
      </c>
      <c r="O30" s="48">
        <f>+ยอดเบิกตามทะเบียน!H34</f>
        <v>0</v>
      </c>
      <c r="P30" s="159">
        <f t="shared" si="4"/>
        <v>1262349.3</v>
      </c>
      <c r="Q30" s="158">
        <f>+'ยอดเบิกตาม GFMIS'!J34</f>
        <v>3333121.73</v>
      </c>
      <c r="R30" s="48">
        <f>+ยอดเบิกตามทะเบียน!J34</f>
        <v>3333121.73</v>
      </c>
      <c r="S30" s="159">
        <f t="shared" si="5"/>
        <v>0</v>
      </c>
      <c r="T30" s="158">
        <f>+'ยอดเบิกตาม GFMIS'!L34</f>
        <v>4595471.0299999993</v>
      </c>
      <c r="U30" s="48">
        <f>+ยอดเบิกตามทะเบียน!L34</f>
        <v>3380428.23</v>
      </c>
      <c r="V30" s="159">
        <f t="shared" si="6"/>
        <v>1215042.7999999993</v>
      </c>
      <c r="W30" s="158">
        <f>+'[22]ยอเบิกตาม GFMIS'!N34</f>
        <v>9815810</v>
      </c>
      <c r="X30" s="48">
        <f>+ยอดเบิกตามทะเบียน!N34</f>
        <v>6969571.7699999996</v>
      </c>
      <c r="Y30" s="159">
        <f t="shared" si="7"/>
        <v>2846238.2300000004</v>
      </c>
      <c r="Z30" s="160">
        <f>+'ยอดเบิกตาม GFMIS'!P34</f>
        <v>16104528.969999999</v>
      </c>
      <c r="AA30" s="48">
        <f>+ยอดเบิกตามทะเบียน!P34</f>
        <v>17319571.77</v>
      </c>
      <c r="AB30" s="159">
        <f t="shared" si="8"/>
        <v>-1215042.8000000007</v>
      </c>
    </row>
    <row r="31" spans="1:28" s="37" customFormat="1" ht="21">
      <c r="A31" s="161" t="s">
        <v>135</v>
      </c>
      <c r="B31" s="158">
        <f>+'ยอดเบิกตาม GFMIS'!B35</f>
        <v>29200000</v>
      </c>
      <c r="C31" s="48">
        <f>+ยอดเบิกตามทะเบียน!B35</f>
        <v>29200000</v>
      </c>
      <c r="D31" s="159">
        <f t="shared" si="0"/>
        <v>0</v>
      </c>
      <c r="E31" s="158">
        <f>+'ยอดเบิกตาม GFMIS'!C35</f>
        <v>18850000</v>
      </c>
      <c r="F31" s="48">
        <f>+ยอดเบิกตามทะเบียน!C35</f>
        <v>18850000</v>
      </c>
      <c r="G31" s="159">
        <f t="shared" si="1"/>
        <v>0</v>
      </c>
      <c r="H31" s="158">
        <f>+'ยอดเบิกตาม GFMIS'!D35</f>
        <v>0</v>
      </c>
      <c r="I31" s="48">
        <f>+ยอดเบิกตามทะเบียน!D35</f>
        <v>0</v>
      </c>
      <c r="J31" s="159">
        <f t="shared" si="2"/>
        <v>0</v>
      </c>
      <c r="K31" s="158">
        <f>+'ยอดเบิกตาม GFMIS'!F35</f>
        <v>0</v>
      </c>
      <c r="L31" s="48">
        <f>+ยอดเบิกตามทะเบียน!F35</f>
        <v>47306.5</v>
      </c>
      <c r="M31" s="159">
        <f t="shared" si="3"/>
        <v>-47306.5</v>
      </c>
      <c r="N31" s="158">
        <f>+'ยอดเบิกตาม GFMIS'!H35</f>
        <v>1262349.3</v>
      </c>
      <c r="O31" s="48">
        <f>+ยอดเบิกตามทะเบียน!H35</f>
        <v>0</v>
      </c>
      <c r="P31" s="159">
        <f t="shared" si="4"/>
        <v>1262349.3</v>
      </c>
      <c r="Q31" s="158">
        <f>+'ยอดเบิกตาม GFMIS'!J35</f>
        <v>3333121.73</v>
      </c>
      <c r="R31" s="48">
        <f>+ยอดเบิกตามทะเบียน!J35</f>
        <v>3333121.73</v>
      </c>
      <c r="S31" s="159">
        <f t="shared" si="5"/>
        <v>0</v>
      </c>
      <c r="T31" s="158">
        <f>+'ยอดเบิกตาม GFMIS'!L35</f>
        <v>4595471.0299999993</v>
      </c>
      <c r="U31" s="48">
        <f>+ยอดเบิกตามทะเบียน!L35</f>
        <v>3380428.23</v>
      </c>
      <c r="V31" s="159">
        <f t="shared" si="6"/>
        <v>1215042.7999999993</v>
      </c>
      <c r="W31" s="158">
        <f>+'[22]ยอเบิกตาม GFMIS'!N35</f>
        <v>18315810</v>
      </c>
      <c r="X31" s="48">
        <f>+ยอดเบิกตามทะเบียน!N35</f>
        <v>15469571.77</v>
      </c>
      <c r="Y31" s="159">
        <f t="shared" si="7"/>
        <v>2846238.2300000004</v>
      </c>
      <c r="Z31" s="160">
        <f>+'ยอดเบิกตาม GFMIS'!P35</f>
        <v>24604528.969999999</v>
      </c>
      <c r="AA31" s="48">
        <f>+ยอดเบิกตามทะเบียน!P35</f>
        <v>25819571.77</v>
      </c>
      <c r="AB31" s="159">
        <f t="shared" si="8"/>
        <v>-1215042.8000000007</v>
      </c>
    </row>
    <row r="32" spans="1:28" s="37" customFormat="1" ht="21">
      <c r="A32" s="161" t="s">
        <v>144</v>
      </c>
      <c r="B32" s="162">
        <f>+'ยอดเบิกตาม GFMIS'!B36</f>
        <v>0</v>
      </c>
      <c r="C32" s="49">
        <f>+ยอดเบิกตามทะเบียน!B36</f>
        <v>0</v>
      </c>
      <c r="D32" s="163">
        <f t="shared" si="0"/>
        <v>0</v>
      </c>
      <c r="E32" s="162">
        <f>+'ยอดเบิกตาม GFMIS'!C36</f>
        <v>0</v>
      </c>
      <c r="F32" s="49">
        <f>+ยอดเบิกตามทะเบียน!C36</f>
        <v>0</v>
      </c>
      <c r="G32" s="163">
        <f t="shared" si="1"/>
        <v>0</v>
      </c>
      <c r="H32" s="162">
        <f>+'ยอดเบิกตาม GFMIS'!D36</f>
        <v>0</v>
      </c>
      <c r="I32" s="49">
        <f>+ยอดเบิกตามทะเบียน!D36</f>
        <v>0</v>
      </c>
      <c r="J32" s="163">
        <f t="shared" si="2"/>
        <v>0</v>
      </c>
      <c r="K32" s="162">
        <f>+'ยอดเบิกตาม GFMIS'!F36</f>
        <v>0</v>
      </c>
      <c r="L32" s="49">
        <f>+ยอดเบิกตามทะเบียน!F36</f>
        <v>0</v>
      </c>
      <c r="M32" s="163">
        <f t="shared" si="3"/>
        <v>0</v>
      </c>
      <c r="N32" s="162">
        <f>+'ยอดเบิกตาม GFMIS'!H36</f>
        <v>0</v>
      </c>
      <c r="O32" s="49">
        <f>+ยอดเบิกตามทะเบียน!H36</f>
        <v>0</v>
      </c>
      <c r="P32" s="163">
        <f t="shared" si="4"/>
        <v>0</v>
      </c>
      <c r="Q32" s="158">
        <f>+'ยอดเบิกตาม GFMIS'!J36</f>
        <v>0</v>
      </c>
      <c r="R32" s="49">
        <f>+ยอดเบิกตามทะเบียน!J36</f>
        <v>0</v>
      </c>
      <c r="S32" s="163">
        <f t="shared" si="5"/>
        <v>0</v>
      </c>
      <c r="T32" s="158">
        <f>+'ยอดเบิกตาม GFMIS'!L36</f>
        <v>0</v>
      </c>
      <c r="U32" s="48">
        <f>+ยอดเบิกตามทะเบียน!L36</f>
        <v>0</v>
      </c>
      <c r="V32" s="163">
        <f t="shared" si="6"/>
        <v>0</v>
      </c>
      <c r="W32" s="162">
        <f>+'[22]ยอเบิกตาม GFMIS'!N36</f>
        <v>0</v>
      </c>
      <c r="X32" s="48">
        <f>+ยอดเบิกตามทะเบียน!N36</f>
        <v>0</v>
      </c>
      <c r="Y32" s="163">
        <f t="shared" si="7"/>
        <v>0</v>
      </c>
      <c r="Z32" s="160">
        <f>+'ยอดเบิกตาม GFMIS'!P36</f>
        <v>0</v>
      </c>
      <c r="AA32" s="48">
        <f>+ยอดเบิกตามทะเบียน!P36</f>
        <v>0</v>
      </c>
      <c r="AB32" s="163">
        <f t="shared" si="8"/>
        <v>0</v>
      </c>
    </row>
    <row r="33" spans="1:28" s="1" customFormat="1" ht="21">
      <c r="A33" s="157" t="s">
        <v>133</v>
      </c>
      <c r="B33" s="158">
        <f>+'ยอดเบิกตาม GFMIS'!B37</f>
        <v>368231400</v>
      </c>
      <c r="C33" s="48">
        <f>+ยอดเบิกตามทะเบียน!B37</f>
        <v>368231400</v>
      </c>
      <c r="D33" s="159">
        <f t="shared" si="0"/>
        <v>0</v>
      </c>
      <c r="E33" s="158">
        <f>+'ยอดเบิกตาม GFMIS'!C37</f>
        <v>184115700</v>
      </c>
      <c r="F33" s="48">
        <f>+ยอดเบิกตามทะเบียน!C37</f>
        <v>184115700</v>
      </c>
      <c r="G33" s="159">
        <f t="shared" si="1"/>
        <v>0</v>
      </c>
      <c r="H33" s="158">
        <f>+'ยอดเบิกตาม GFMIS'!D37</f>
        <v>0</v>
      </c>
      <c r="I33" s="48">
        <f>+ยอดเบิกตามทะเบียน!D37</f>
        <v>0</v>
      </c>
      <c r="J33" s="159">
        <f t="shared" si="2"/>
        <v>0</v>
      </c>
      <c r="K33" s="158">
        <f>+'ยอดเบิกตาม GFMIS'!F37</f>
        <v>0</v>
      </c>
      <c r="L33" s="48">
        <f>+ยอดเบิกตามทะเบียน!F37</f>
        <v>0</v>
      </c>
      <c r="M33" s="159">
        <f t="shared" si="3"/>
        <v>0</v>
      </c>
      <c r="N33" s="158">
        <f>+'ยอดเบิกตาม GFMIS'!H37</f>
        <v>0</v>
      </c>
      <c r="O33" s="48">
        <f>+ยอดเบิกตามทะเบียน!H37</f>
        <v>0</v>
      </c>
      <c r="P33" s="159">
        <f t="shared" si="4"/>
        <v>0</v>
      </c>
      <c r="Q33" s="158">
        <f>+'ยอดเบิกตาม GFMIS'!J37</f>
        <v>94670302.109999999</v>
      </c>
      <c r="R33" s="48">
        <f>+ยอดเบิกตามทะเบียน!J37</f>
        <v>94670302.109999999</v>
      </c>
      <c r="S33" s="159">
        <f t="shared" si="5"/>
        <v>0</v>
      </c>
      <c r="T33" s="158">
        <f>+'ยอดเบิกตาม GFMIS'!L37</f>
        <v>94670302.109999999</v>
      </c>
      <c r="U33" s="48">
        <f>+ยอดเบิกตามทะเบียน!L37</f>
        <v>94670302.109999999</v>
      </c>
      <c r="V33" s="159">
        <f t="shared" si="6"/>
        <v>0</v>
      </c>
      <c r="W33" s="158">
        <f>+'[22]ยอเบิกตาม GFMIS'!N37</f>
        <v>153591683.74000001</v>
      </c>
      <c r="X33" s="48">
        <f>+ยอดเบิกตามทะเบียน!N37</f>
        <v>89445397.890000001</v>
      </c>
      <c r="Y33" s="159">
        <f t="shared" si="7"/>
        <v>64146285.850000009</v>
      </c>
      <c r="Z33" s="160">
        <f>+'ยอดเบิกตาม GFMIS'!P37</f>
        <v>273561097.88999999</v>
      </c>
      <c r="AA33" s="48">
        <f>+ยอดเบิกตามทะเบียน!P37</f>
        <v>273561097.88999999</v>
      </c>
      <c r="AB33" s="159">
        <f t="shared" si="8"/>
        <v>0</v>
      </c>
    </row>
    <row r="34" spans="1:28" s="1" customFormat="1" ht="21">
      <c r="A34" s="157" t="s">
        <v>134</v>
      </c>
      <c r="B34" s="158">
        <f>+'ยอดเบิกตาม GFMIS'!B38</f>
        <v>274945000</v>
      </c>
      <c r="C34" s="48">
        <f>+ยอดเบิกตามทะเบียน!B38</f>
        <v>274945000</v>
      </c>
      <c r="D34" s="159">
        <f t="shared" si="0"/>
        <v>0</v>
      </c>
      <c r="E34" s="158">
        <f>+'ยอดเบิกตาม GFMIS'!C38</f>
        <v>137464900</v>
      </c>
      <c r="F34" s="48">
        <f>+ยอดเบิกตามทะเบียน!C38</f>
        <v>137464900</v>
      </c>
      <c r="G34" s="159">
        <f t="shared" si="1"/>
        <v>0</v>
      </c>
      <c r="H34" s="158">
        <f>+'ยอดเบิกตาม GFMIS'!D38</f>
        <v>0</v>
      </c>
      <c r="I34" s="48">
        <f>+ยอดเบิกตามทะเบียน!D38</f>
        <v>302249</v>
      </c>
      <c r="J34" s="159">
        <f t="shared" si="2"/>
        <v>-302249</v>
      </c>
      <c r="K34" s="158">
        <f>+'ยอดเบิกตาม GFMIS'!F38</f>
        <v>0</v>
      </c>
      <c r="L34" s="48">
        <f>+ยอดเบิกตามทะเบียน!F38</f>
        <v>1629085.12</v>
      </c>
      <c r="M34" s="159">
        <f t="shared" si="3"/>
        <v>-1629085.12</v>
      </c>
      <c r="N34" s="158">
        <f>+'ยอดเบิกตาม GFMIS'!H38</f>
        <v>27730717.300000001</v>
      </c>
      <c r="O34" s="48">
        <f>+ยอดเบิกตามทะเบียน!H38</f>
        <v>1163090.8500000001</v>
      </c>
      <c r="P34" s="159">
        <f t="shared" si="4"/>
        <v>26567626.449999999</v>
      </c>
      <c r="Q34" s="158">
        <f>+'ยอดเบิกตาม GFMIS'!J38</f>
        <v>33285046.629999999</v>
      </c>
      <c r="R34" s="48">
        <f>+ยอดเบิกตามทะเบียน!J38</f>
        <v>33285047.23</v>
      </c>
      <c r="S34" s="159">
        <f t="shared" si="5"/>
        <v>-0.60000000149011612</v>
      </c>
      <c r="T34" s="158">
        <f>+'ยอดเบิกตาม GFMIS'!L38</f>
        <v>61015763.930000007</v>
      </c>
      <c r="U34" s="48">
        <f>+ยอดเบิกตามทะเบียน!L38</f>
        <v>36379472.200000003</v>
      </c>
      <c r="V34" s="159">
        <f t="shared" si="6"/>
        <v>24636291.730000004</v>
      </c>
      <c r="W34" s="158">
        <f>+'[22]ยอเบิกตาม GFMIS'!N38</f>
        <v>123679043.5</v>
      </c>
      <c r="X34" s="48">
        <f>+ยอดเบิกตามทะเบียน!N38</f>
        <v>101085427.8</v>
      </c>
      <c r="Y34" s="159">
        <f t="shared" si="7"/>
        <v>22593615.700000003</v>
      </c>
      <c r="Z34" s="160">
        <f>+'ยอดเบิกตาม GFMIS'!P38</f>
        <v>213929236.06999999</v>
      </c>
      <c r="AA34" s="48">
        <f>+ยอดเบิกตามทะเบียน!P38</f>
        <v>238565527.79999998</v>
      </c>
      <c r="AB34" s="159">
        <f t="shared" si="8"/>
        <v>-24636291.729999989</v>
      </c>
    </row>
    <row r="35" spans="1:28" s="1" customFormat="1" ht="21">
      <c r="A35" s="157" t="s">
        <v>137</v>
      </c>
      <c r="B35" s="158">
        <f>+'ยอดเบิกตาม GFMIS'!B39</f>
        <v>230145300</v>
      </c>
      <c r="C35" s="48">
        <f>+ยอดเบิกตามทะเบียน!B39</f>
        <v>230145300</v>
      </c>
      <c r="D35" s="159">
        <f t="shared" si="0"/>
        <v>0</v>
      </c>
      <c r="E35" s="158">
        <f>+'ยอดเบิกตาม GFMIS'!C39</f>
        <v>230145300</v>
      </c>
      <c r="F35" s="48">
        <f>+ยอดเบิกตามทะเบียน!C39</f>
        <v>230145300</v>
      </c>
      <c r="G35" s="159">
        <f t="shared" si="1"/>
        <v>0</v>
      </c>
      <c r="H35" s="158">
        <f>+'ยอดเบิกตาม GFMIS'!D39</f>
        <v>0</v>
      </c>
      <c r="I35" s="48">
        <f>+ยอดเบิกตามทะเบียน!D39</f>
        <v>1408363.73</v>
      </c>
      <c r="J35" s="159">
        <f t="shared" si="2"/>
        <v>-1408363.73</v>
      </c>
      <c r="K35" s="158">
        <f>+'ยอดเบิกตาม GFMIS'!F39</f>
        <v>0</v>
      </c>
      <c r="L35" s="48">
        <f>+ยอดเบิกตามทะเบียน!F39</f>
        <v>0</v>
      </c>
      <c r="M35" s="159">
        <f t="shared" si="3"/>
        <v>0</v>
      </c>
      <c r="N35" s="158">
        <f>+'ยอดเบิกตาม GFMIS'!H39</f>
        <v>2321133.4900000002</v>
      </c>
      <c r="O35" s="48">
        <f>+ยอดเบิกตามทะเบียน!H39</f>
        <v>0</v>
      </c>
      <c r="P35" s="159">
        <f t="shared" si="4"/>
        <v>2321133.4900000002</v>
      </c>
      <c r="Q35" s="158">
        <f>+'ยอดเบิกตาม GFMIS'!J39</f>
        <v>1125127.3999999999</v>
      </c>
      <c r="R35" s="48">
        <f>+ยอดเบิกตามทะเบียน!J39</f>
        <v>1125127.3999999999</v>
      </c>
      <c r="S35" s="159">
        <f t="shared" si="5"/>
        <v>0</v>
      </c>
      <c r="T35" s="158">
        <f>+'ยอดเบิกตาม GFMIS'!L39</f>
        <v>3446260.89</v>
      </c>
      <c r="U35" s="48">
        <f>+ยอดเบิกตามทะเบียน!L39</f>
        <v>2533491.13</v>
      </c>
      <c r="V35" s="159">
        <f t="shared" si="6"/>
        <v>912769.76000000024</v>
      </c>
      <c r="W35" s="158">
        <f>+'[22]ยอเบิกตาม GFMIS'!N39</f>
        <v>229945800</v>
      </c>
      <c r="X35" s="48">
        <f>+ยอดเบิกตามทะเบียน!N39</f>
        <v>227611808.87</v>
      </c>
      <c r="Y35" s="159">
        <f t="shared" si="7"/>
        <v>2333991.1299999952</v>
      </c>
      <c r="Z35" s="160">
        <f>+'ยอดเบิกตาม GFMIS'!P39</f>
        <v>226699039.11000001</v>
      </c>
      <c r="AA35" s="48">
        <f>+ยอดเบิกตามทะเบียน!P39</f>
        <v>227611808.87</v>
      </c>
      <c r="AB35" s="159">
        <f t="shared" si="8"/>
        <v>-912769.75999999046</v>
      </c>
    </row>
    <row r="36" spans="1:28" s="1" customFormat="1" ht="21">
      <c r="A36" s="157" t="s">
        <v>138</v>
      </c>
      <c r="B36" s="158">
        <f>+'ยอดเบิกตาม GFMIS'!B40</f>
        <v>24715000</v>
      </c>
      <c r="C36" s="48">
        <f>+ยอดเบิกตามทะเบียน!B40</f>
        <v>24715000</v>
      </c>
      <c r="D36" s="159">
        <f t="shared" si="0"/>
        <v>0</v>
      </c>
      <c r="E36" s="158">
        <f>+'ยอดเบิกตาม GFMIS'!C40</f>
        <v>12365000</v>
      </c>
      <c r="F36" s="48">
        <f>+ยอดเบิกตามทะเบียน!C40</f>
        <v>12365000</v>
      </c>
      <c r="G36" s="159">
        <f t="shared" si="1"/>
        <v>0</v>
      </c>
      <c r="H36" s="158">
        <f>+'ยอดเบิกตาม GFMIS'!D40</f>
        <v>0</v>
      </c>
      <c r="I36" s="48">
        <f>+ยอดเบิกตามทะเบียน!D40</f>
        <v>0</v>
      </c>
      <c r="J36" s="159">
        <f t="shared" si="2"/>
        <v>0</v>
      </c>
      <c r="K36" s="158">
        <f>+'ยอดเบิกตาม GFMIS'!F40</f>
        <v>0</v>
      </c>
      <c r="L36" s="48">
        <f>+ยอดเบิกตามทะเบียน!F40</f>
        <v>48306.5</v>
      </c>
      <c r="M36" s="159">
        <f t="shared" si="3"/>
        <v>-48306.5</v>
      </c>
      <c r="N36" s="158">
        <f>+'ยอดเบิกตาม GFMIS'!H40</f>
        <v>1262349.3</v>
      </c>
      <c r="O36" s="48">
        <f>+ยอดเบิกตามทะเบียน!H40</f>
        <v>0</v>
      </c>
      <c r="P36" s="159">
        <f t="shared" si="4"/>
        <v>1262349.3</v>
      </c>
      <c r="Q36" s="158">
        <f>+'ยอดเบิกตาม GFMIS'!J40</f>
        <v>3575583.23</v>
      </c>
      <c r="R36" s="48">
        <f>+ยอดเบิกตามทะเบียน!J40</f>
        <v>3575583.23</v>
      </c>
      <c r="S36" s="159">
        <f t="shared" si="5"/>
        <v>0</v>
      </c>
      <c r="T36" s="158">
        <f>+'ยอดเบิกตาม GFMIS'!L40</f>
        <v>4837932.5299999993</v>
      </c>
      <c r="U36" s="48">
        <f>+ยอดเบิกตามทะเบียน!L40</f>
        <v>3623889.73</v>
      </c>
      <c r="V36" s="159">
        <f t="shared" si="6"/>
        <v>1214042.7999999993</v>
      </c>
      <c r="W36" s="158">
        <f>+'[22]ยอเบิกตาม GFMIS'!N40</f>
        <v>11815810</v>
      </c>
      <c r="X36" s="48">
        <f>+ยอดเบิกตามทะเบียน!N40</f>
        <v>8741110.2699999996</v>
      </c>
      <c r="Y36" s="159">
        <f t="shared" si="7"/>
        <v>3074699.7300000004</v>
      </c>
      <c r="Z36" s="160">
        <f>+'ยอดเบิกตาม GFMIS'!P40</f>
        <v>19877067.469999999</v>
      </c>
      <c r="AA36" s="48">
        <f>+ยอดเบิกตามทะเบียน!P40</f>
        <v>21091110.27</v>
      </c>
      <c r="AB36" s="159">
        <f t="shared" si="8"/>
        <v>-1214042.8000000007</v>
      </c>
    </row>
    <row r="37" spans="1:28" s="1" customFormat="1" ht="21.75" thickBot="1">
      <c r="A37" s="164" t="s">
        <v>144</v>
      </c>
      <c r="B37" s="166">
        <f>+'ยอดเบิกตาม GFMIS'!B41</f>
        <v>898036700</v>
      </c>
      <c r="C37" s="167">
        <f>+ยอดเบิกตามทะเบียน!B41</f>
        <v>898036700</v>
      </c>
      <c r="D37" s="165">
        <f t="shared" si="0"/>
        <v>0</v>
      </c>
      <c r="E37" s="166">
        <f>+'ยอดเบิกตาม GFMIS'!C41</f>
        <v>564090900</v>
      </c>
      <c r="F37" s="167">
        <f>+ยอดเบิกตามทะเบียน!C41</f>
        <v>564090900</v>
      </c>
      <c r="G37" s="165">
        <f t="shared" si="1"/>
        <v>0</v>
      </c>
      <c r="H37" s="166">
        <f>+'ยอดเบิกตาม GFMIS'!D41</f>
        <v>0</v>
      </c>
      <c r="I37" s="167">
        <f>+ยอดเบิกตามทะเบียน!D41</f>
        <v>1710612.73</v>
      </c>
      <c r="J37" s="165">
        <f t="shared" si="2"/>
        <v>-1710612.73</v>
      </c>
      <c r="K37" s="166">
        <f>+'[22]ยอเบิกตาม GFMIS'!F41</f>
        <v>0</v>
      </c>
      <c r="L37" s="167">
        <f>+[22]ยอดเบิกตามทะเบียน!F41</f>
        <v>1285725.79</v>
      </c>
      <c r="M37" s="165">
        <f t="shared" si="3"/>
        <v>-1285725.79</v>
      </c>
      <c r="N37" s="166">
        <f>+'ยอดเบิกตาม GFMIS'!H41</f>
        <v>31314200.09</v>
      </c>
      <c r="O37" s="167">
        <f>+ยอดเบิกตามทะเบียน!H41</f>
        <v>1163090.8500000001</v>
      </c>
      <c r="P37" s="165">
        <f t="shared" si="4"/>
        <v>30151109.239999998</v>
      </c>
      <c r="Q37" s="166">
        <f>+'ยอดเบิกตาม GFMIS'!J41</f>
        <v>132656059.37</v>
      </c>
      <c r="R37" s="167">
        <f>+ยอดเบิกตามทะเบียน!J41</f>
        <v>132656059.97000001</v>
      </c>
      <c r="S37" s="165">
        <f t="shared" si="5"/>
        <v>-0.60000000894069672</v>
      </c>
      <c r="T37" s="166">
        <f>+'ยอดเบิกตาม GFMIS'!L41</f>
        <v>163970259.46000001</v>
      </c>
      <c r="U37" s="167">
        <f>+ยอดเบิกตามทะเบียน!L41</f>
        <v>137207155.16999999</v>
      </c>
      <c r="V37" s="165">
        <f t="shared" si="6"/>
        <v>26763104.290000021</v>
      </c>
      <c r="W37" s="166">
        <f>+'[22]ยอเบิกตาม GFMIS'!N41</f>
        <v>519032337.24000001</v>
      </c>
      <c r="X37" s="167">
        <f>+ยอดเบิกตามทะเบียน!N41</f>
        <v>426883744.82999998</v>
      </c>
      <c r="Y37" s="165">
        <f t="shared" si="7"/>
        <v>92148592.410000026</v>
      </c>
      <c r="Z37" s="166">
        <f>+'ยอดเบิกตาม GFMIS'!P41</f>
        <v>734066440.53999996</v>
      </c>
      <c r="AA37" s="167">
        <f>+ยอดเบิกตามทะเบียน!P41</f>
        <v>760829544.82999992</v>
      </c>
      <c r="AB37" s="165">
        <f t="shared" si="8"/>
        <v>-26763104.289999962</v>
      </c>
    </row>
  </sheetData>
  <mergeCells count="10">
    <mergeCell ref="T4:V4"/>
    <mergeCell ref="W4:Y4"/>
    <mergeCell ref="Z4:AB4"/>
    <mergeCell ref="A4:A5"/>
    <mergeCell ref="B4:D4"/>
    <mergeCell ref="E4:G4"/>
    <mergeCell ref="H4:J4"/>
    <mergeCell ref="K4:M4"/>
    <mergeCell ref="N4:P4"/>
    <mergeCell ref="Q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F18" sqref="F18"/>
    </sheetView>
  </sheetViews>
  <sheetFormatPr defaultRowHeight="14.25"/>
  <cols>
    <col min="1" max="1" width="9" style="277"/>
    <col min="2" max="2" width="27.125" style="277" customWidth="1"/>
    <col min="3" max="3" width="23.125" style="277" customWidth="1"/>
    <col min="4" max="4" width="17.625" style="277" customWidth="1"/>
    <col min="5" max="5" width="16.25" style="277" customWidth="1"/>
    <col min="6" max="6" width="7.875" style="277" customWidth="1"/>
    <col min="7" max="7" width="15" style="277" customWidth="1"/>
    <col min="8" max="8" width="15.375" style="277" customWidth="1"/>
    <col min="9" max="9" width="7.75" style="277" customWidth="1"/>
    <col min="10" max="10" width="14.75" style="277" customWidth="1"/>
    <col min="11" max="11" width="14.875" style="277" customWidth="1"/>
    <col min="12" max="16384" width="9" style="277"/>
  </cols>
  <sheetData>
    <row r="1" spans="1:11" ht="21">
      <c r="A1" s="1022" t="s">
        <v>157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</row>
    <row r="2" spans="1:11" ht="21">
      <c r="A2" s="1022" t="s">
        <v>444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</row>
    <row r="3" spans="1:11" ht="21">
      <c r="A3" s="1022" t="s">
        <v>159</v>
      </c>
      <c r="B3" s="1022"/>
      <c r="C3" s="1022"/>
      <c r="D3" s="1022"/>
      <c r="E3" s="1022"/>
      <c r="F3" s="1022"/>
      <c r="G3" s="1022"/>
      <c r="H3" s="1022"/>
      <c r="I3" s="1022"/>
      <c r="J3" s="1022"/>
      <c r="K3" s="1022"/>
    </row>
    <row r="4" spans="1:11" ht="21">
      <c r="A4" s="278" t="s">
        <v>147</v>
      </c>
      <c r="B4" s="278"/>
      <c r="C4" s="278"/>
      <c r="D4" s="17"/>
      <c r="E4" s="17"/>
      <c r="F4" s="17"/>
      <c r="G4" s="17"/>
      <c r="H4" s="17"/>
      <c r="I4" s="17"/>
      <c r="J4" s="17"/>
      <c r="K4" s="17"/>
    </row>
    <row r="5" spans="1:11" ht="25.5" customHeight="1">
      <c r="A5" s="1049" t="s">
        <v>148</v>
      </c>
      <c r="B5" s="1049" t="s">
        <v>149</v>
      </c>
      <c r="C5" s="1049" t="s">
        <v>150</v>
      </c>
      <c r="D5" s="1051" t="s">
        <v>445</v>
      </c>
      <c r="E5" s="1052"/>
      <c r="F5" s="1052"/>
      <c r="G5" s="1052"/>
      <c r="H5" s="1052"/>
      <c r="I5" s="1052"/>
      <c r="J5" s="1052"/>
      <c r="K5" s="1053"/>
    </row>
    <row r="6" spans="1:11" ht="78" customHeight="1">
      <c r="A6" s="1050"/>
      <c r="B6" s="1050"/>
      <c r="C6" s="1050"/>
      <c r="D6" s="276" t="s">
        <v>151</v>
      </c>
      <c r="E6" s="276" t="s">
        <v>152</v>
      </c>
      <c r="F6" s="276" t="s">
        <v>124</v>
      </c>
      <c r="G6" s="276" t="s">
        <v>153</v>
      </c>
      <c r="H6" s="279" t="s">
        <v>154</v>
      </c>
      <c r="I6" s="276" t="s">
        <v>124</v>
      </c>
      <c r="J6" s="280" t="s">
        <v>155</v>
      </c>
      <c r="K6" s="280" t="s">
        <v>156</v>
      </c>
    </row>
    <row r="7" spans="1:11" ht="21">
      <c r="A7" s="281">
        <v>1</v>
      </c>
      <c r="B7" s="281">
        <v>50</v>
      </c>
      <c r="C7" s="281">
        <v>37.5</v>
      </c>
      <c r="D7" s="282">
        <f>+รวมทุกงบ!C88</f>
        <v>17576410</v>
      </c>
      <c r="E7" s="282">
        <f>+รวมทุกงบ!K88</f>
        <v>1125127.3999999999</v>
      </c>
      <c r="F7" s="282">
        <f>+E7*100/D7</f>
        <v>6.4013493085334252</v>
      </c>
      <c r="G7" s="282">
        <f>+'ยอดเบิกตาม GFMIS'!C41</f>
        <v>564090900</v>
      </c>
      <c r="H7" s="283">
        <f>+'ยอดเบิกตาม GFMIS'!J41</f>
        <v>132656059.37</v>
      </c>
      <c r="I7" s="282">
        <f>+H7*100/G7</f>
        <v>23.516787696805604</v>
      </c>
      <c r="J7" s="284">
        <v>-0.438</v>
      </c>
      <c r="K7" s="284">
        <v>-0.13980000000000001</v>
      </c>
    </row>
    <row r="8" spans="1:11" ht="21">
      <c r="A8" s="281">
        <v>2</v>
      </c>
      <c r="B8" s="281">
        <v>100</v>
      </c>
      <c r="C8" s="281">
        <v>75</v>
      </c>
      <c r="D8" s="282"/>
      <c r="E8" s="285"/>
      <c r="F8" s="282"/>
      <c r="G8" s="282"/>
      <c r="H8" s="283"/>
      <c r="I8" s="282"/>
      <c r="J8" s="286"/>
      <c r="K8" s="286"/>
    </row>
    <row r="9" spans="1:11" ht="21">
      <c r="A9" s="287"/>
      <c r="B9" s="287"/>
      <c r="C9" s="287"/>
      <c r="D9" s="288"/>
      <c r="E9" s="289"/>
      <c r="F9" s="288"/>
      <c r="G9" s="288"/>
      <c r="H9" s="288"/>
      <c r="I9" s="288"/>
      <c r="J9" s="290"/>
      <c r="K9" s="290"/>
    </row>
    <row r="10" spans="1:11" ht="21">
      <c r="A10" s="291" t="s">
        <v>434</v>
      </c>
      <c r="B10" s="287"/>
      <c r="C10" s="287"/>
      <c r="D10" s="288"/>
      <c r="E10" s="289"/>
      <c r="F10" s="288"/>
      <c r="G10" s="288"/>
      <c r="H10" s="288"/>
      <c r="I10" s="288"/>
      <c r="J10" s="290"/>
      <c r="K10" s="290"/>
    </row>
    <row r="11" spans="1:11" ht="21" customHeight="1">
      <c r="A11" s="1049" t="s">
        <v>148</v>
      </c>
      <c r="B11" s="1049" t="s">
        <v>435</v>
      </c>
      <c r="C11" s="1049" t="s">
        <v>436</v>
      </c>
      <c r="D11" s="1051" t="str">
        <f>+D5</f>
        <v>ผลการเบิกจ่ายเงินของ อย. สิ้นสุด  31 ธันวาคม 2565</v>
      </c>
      <c r="E11" s="1052"/>
      <c r="F11" s="1052"/>
      <c r="G11" s="1052"/>
      <c r="H11" s="1052"/>
      <c r="I11" s="1052"/>
      <c r="J11" s="1052"/>
      <c r="K11" s="1053"/>
    </row>
    <row r="12" spans="1:11" ht="62.25" customHeight="1">
      <c r="A12" s="1050"/>
      <c r="B12" s="1050"/>
      <c r="C12" s="1050"/>
      <c r="D12" s="276" t="s">
        <v>160</v>
      </c>
      <c r="E12" s="276" t="s">
        <v>161</v>
      </c>
      <c r="F12" s="276" t="s">
        <v>124</v>
      </c>
      <c r="G12" s="276" t="s">
        <v>162</v>
      </c>
      <c r="H12" s="279" t="s">
        <v>154</v>
      </c>
      <c r="I12" s="276" t="s">
        <v>124</v>
      </c>
      <c r="J12" s="280" t="s">
        <v>163</v>
      </c>
      <c r="K12" s="280" t="s">
        <v>156</v>
      </c>
    </row>
    <row r="13" spans="1:11" ht="21">
      <c r="A13" s="281">
        <v>1</v>
      </c>
      <c r="B13" s="281">
        <v>19</v>
      </c>
      <c r="C13" s="281">
        <v>32</v>
      </c>
      <c r="D13" s="282">
        <f>+'ยอดเบิกตาม GFMIS'!B39</f>
        <v>230145300</v>
      </c>
      <c r="E13" s="282">
        <f>+'ยอดเบิกตาม GFMIS'!J39</f>
        <v>1125127.3999999999</v>
      </c>
      <c r="F13" s="282">
        <f>+E13*100/D13</f>
        <v>0.48887698336659485</v>
      </c>
      <c r="G13" s="282">
        <f>+'ยอดเบิกตาม GFMIS'!B41</f>
        <v>898036700</v>
      </c>
      <c r="H13" s="283">
        <f>+'ยอดเบิกตาม GFMIS'!J41</f>
        <v>132656059.37</v>
      </c>
      <c r="I13" s="282">
        <f>+H13*100/G13</f>
        <v>14.77178598268868</v>
      </c>
      <c r="J13" s="284">
        <v>-0.18509999999999999</v>
      </c>
      <c r="K13" s="284">
        <v>-0.17230000000000001</v>
      </c>
    </row>
    <row r="14" spans="1:11" ht="21">
      <c r="A14" s="281">
        <v>2</v>
      </c>
      <c r="B14" s="281">
        <f>19+20</f>
        <v>39</v>
      </c>
      <c r="C14" s="281">
        <f>32+20</f>
        <v>52</v>
      </c>
      <c r="D14" s="282"/>
      <c r="E14" s="285"/>
      <c r="F14" s="282"/>
      <c r="G14" s="282"/>
      <c r="H14" s="283"/>
      <c r="I14" s="282"/>
      <c r="J14" s="286"/>
      <c r="K14" s="286"/>
    </row>
    <row r="15" spans="1:11" ht="21">
      <c r="A15" s="281">
        <v>3</v>
      </c>
      <c r="B15" s="281">
        <f>39+18</f>
        <v>57</v>
      </c>
      <c r="C15" s="281">
        <f>52+23</f>
        <v>75</v>
      </c>
      <c r="D15" s="282"/>
      <c r="E15" s="285"/>
      <c r="F15" s="282"/>
      <c r="G15" s="282"/>
      <c r="H15" s="282"/>
      <c r="I15" s="282"/>
      <c r="J15" s="292"/>
      <c r="K15" s="292"/>
    </row>
    <row r="16" spans="1:11" ht="21">
      <c r="A16" s="281">
        <v>4</v>
      </c>
      <c r="B16" s="281">
        <f>57+18</f>
        <v>75</v>
      </c>
      <c r="C16" s="281">
        <f>75+18</f>
        <v>93</v>
      </c>
      <c r="D16" s="282"/>
      <c r="E16" s="285"/>
      <c r="F16" s="282"/>
      <c r="G16" s="282"/>
      <c r="H16" s="282"/>
      <c r="I16" s="282"/>
      <c r="J16" s="292"/>
      <c r="K16" s="292"/>
    </row>
    <row r="17" spans="1:11" ht="21">
      <c r="A17" s="287"/>
      <c r="B17" s="287"/>
      <c r="C17" s="287"/>
      <c r="D17" s="288"/>
      <c r="E17" s="289"/>
      <c r="F17" s="288"/>
      <c r="G17" s="288"/>
      <c r="H17" s="288"/>
      <c r="I17" s="288"/>
      <c r="J17" s="290"/>
      <c r="K17" s="290"/>
    </row>
    <row r="18" spans="1:11" ht="21">
      <c r="A18" s="291" t="s">
        <v>437</v>
      </c>
      <c r="B18" s="287"/>
      <c r="C18" s="287"/>
      <c r="D18" s="288"/>
      <c r="E18" s="289"/>
      <c r="F18" s="288"/>
      <c r="G18" s="288"/>
      <c r="H18" s="288"/>
      <c r="I18" s="288"/>
      <c r="J18" s="290"/>
      <c r="K18" s="290"/>
    </row>
    <row r="19" spans="1:11" ht="21" customHeight="1">
      <c r="A19" s="1049" t="s">
        <v>148</v>
      </c>
      <c r="B19" s="1049" t="s">
        <v>438</v>
      </c>
      <c r="C19" s="1049" t="s">
        <v>439</v>
      </c>
      <c r="D19" s="1051" t="str">
        <f>+D5</f>
        <v>ผลการเบิกจ่ายเงินของ อย. สิ้นสุด  31 ธันวาคม 2565</v>
      </c>
      <c r="E19" s="1052"/>
      <c r="F19" s="1052"/>
      <c r="G19" s="1052"/>
      <c r="H19" s="1052"/>
      <c r="I19" s="1052"/>
      <c r="J19" s="1052"/>
      <c r="K19" s="1053"/>
    </row>
    <row r="20" spans="1:11" ht="62.25" customHeight="1">
      <c r="A20" s="1050"/>
      <c r="B20" s="1050"/>
      <c r="C20" s="1050"/>
      <c r="D20" s="276" t="s">
        <v>160</v>
      </c>
      <c r="E20" s="276" t="s">
        <v>164</v>
      </c>
      <c r="F20" s="276" t="s">
        <v>124</v>
      </c>
      <c r="G20" s="276" t="s">
        <v>162</v>
      </c>
      <c r="H20" s="279" t="s">
        <v>165</v>
      </c>
      <c r="I20" s="276" t="s">
        <v>124</v>
      </c>
      <c r="J20" s="280" t="s">
        <v>163</v>
      </c>
      <c r="K20" s="280" t="s">
        <v>156</v>
      </c>
    </row>
    <row r="21" spans="1:11" ht="21">
      <c r="A21" s="281">
        <v>1</v>
      </c>
      <c r="B21" s="281">
        <v>28.96</v>
      </c>
      <c r="C21" s="281">
        <v>34.08</v>
      </c>
      <c r="D21" s="282">
        <f>+'ยอดเบิกตาม GFMIS'!B39</f>
        <v>230145300</v>
      </c>
      <c r="E21" s="282">
        <f>+'ยอดเบิกตาม GFMIS'!L39</f>
        <v>3446260.89</v>
      </c>
      <c r="F21" s="282">
        <f>+E21*100/D21</f>
        <v>1.497428315937801</v>
      </c>
      <c r="G21" s="282">
        <f>+'ยอดเบิกตาม GFMIS'!B41</f>
        <v>898036700</v>
      </c>
      <c r="H21" s="283">
        <f>+'ยอดเบิกตาม GFMIS'!L41</f>
        <v>163970259.46000001</v>
      </c>
      <c r="I21" s="282">
        <f>+H21*100/G21</f>
        <v>18.258748162519417</v>
      </c>
      <c r="J21" s="284">
        <v>-0.27460000000000001</v>
      </c>
      <c r="K21" s="284">
        <v>-0.15820000000000001</v>
      </c>
    </row>
    <row r="22" spans="1:11" ht="21">
      <c r="A22" s="281">
        <v>2</v>
      </c>
      <c r="B22" s="281">
        <f>28.96+29.19</f>
        <v>58.150000000000006</v>
      </c>
      <c r="C22" s="281">
        <f>34.08+22.16</f>
        <v>56.239999999999995</v>
      </c>
      <c r="D22" s="282"/>
      <c r="E22" s="285"/>
      <c r="F22" s="282"/>
      <c r="G22" s="282"/>
      <c r="H22" s="283"/>
      <c r="I22" s="282"/>
      <c r="J22" s="286"/>
      <c r="K22" s="286"/>
    </row>
    <row r="23" spans="1:11" ht="21">
      <c r="A23" s="281">
        <v>3</v>
      </c>
      <c r="B23" s="281">
        <f>58.15+23.5</f>
        <v>81.650000000000006</v>
      </c>
      <c r="C23" s="281">
        <f>56.24+25.5</f>
        <v>81.740000000000009</v>
      </c>
      <c r="D23" s="282"/>
      <c r="E23" s="285"/>
      <c r="F23" s="282"/>
      <c r="G23" s="282"/>
      <c r="H23" s="282"/>
      <c r="I23" s="282"/>
      <c r="J23" s="292"/>
      <c r="K23" s="292"/>
    </row>
    <row r="24" spans="1:11" ht="21">
      <c r="A24" s="281">
        <v>4</v>
      </c>
      <c r="B24" s="281">
        <f>81.65+18.35</f>
        <v>100</v>
      </c>
      <c r="C24" s="281">
        <f>81.74+18.26</f>
        <v>100</v>
      </c>
      <c r="D24" s="282"/>
      <c r="E24" s="285"/>
      <c r="F24" s="282"/>
      <c r="G24" s="282"/>
      <c r="H24" s="282"/>
      <c r="I24" s="282"/>
      <c r="J24" s="292"/>
      <c r="K24" s="292"/>
    </row>
    <row r="25" spans="1:11" ht="21">
      <c r="A25" s="287"/>
      <c r="B25" s="287"/>
      <c r="C25" s="287"/>
      <c r="D25" s="288"/>
      <c r="E25" s="289"/>
      <c r="F25" s="288"/>
      <c r="G25" s="288"/>
      <c r="H25" s="288"/>
      <c r="I25" s="288"/>
      <c r="J25" s="290"/>
      <c r="K25" s="290"/>
    </row>
    <row r="26" spans="1:11" ht="21">
      <c r="A26" s="287"/>
      <c r="B26" s="287"/>
      <c r="C26" s="287"/>
      <c r="D26" s="288"/>
      <c r="E26" s="289"/>
      <c r="F26" s="288"/>
      <c r="G26" s="288"/>
      <c r="H26" s="288"/>
      <c r="I26" s="288"/>
      <c r="J26" s="290"/>
      <c r="K26" s="290"/>
    </row>
    <row r="27" spans="1:11" ht="21">
      <c r="A27" s="17"/>
      <c r="B27" s="17"/>
      <c r="C27" s="17"/>
      <c r="D27" s="28"/>
      <c r="E27" s="28"/>
      <c r="F27" s="28"/>
      <c r="G27" s="28"/>
      <c r="H27" s="28"/>
      <c r="I27" s="28"/>
      <c r="J27" s="28"/>
      <c r="K27" s="28"/>
    </row>
    <row r="28" spans="1:11" ht="21">
      <c r="A28" s="293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21">
      <c r="A29" s="293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2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2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</sheetData>
  <mergeCells count="15">
    <mergeCell ref="A11:A12"/>
    <mergeCell ref="B11:B12"/>
    <mergeCell ref="C11:C12"/>
    <mergeCell ref="D11:K11"/>
    <mergeCell ref="A19:A20"/>
    <mergeCell ref="B19:B20"/>
    <mergeCell ref="C19:C20"/>
    <mergeCell ref="D19:K19"/>
    <mergeCell ref="A1:K1"/>
    <mergeCell ref="A2:K2"/>
    <mergeCell ref="A3:K3"/>
    <mergeCell ref="A5:A6"/>
    <mergeCell ref="B5:B6"/>
    <mergeCell ref="C5:C6"/>
    <mergeCell ref="D5:K5"/>
  </mergeCells>
  <pageMargins left="0.23622047244094491" right="0.15748031496062992" top="0.23622047244094491" bottom="0.15748031496062992" header="0.15748031496062992" footer="0.15748031496062992"/>
  <pageSetup paperSize="9" scale="80" orientation="landscape" verticalDpi="0" r:id="rId1"/>
  <headerFooter>
    <oddHeader>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C84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L44" sqref="L44"/>
    </sheetView>
  </sheetViews>
  <sheetFormatPr defaultRowHeight="21"/>
  <cols>
    <col min="1" max="1" width="7.5" style="67" customWidth="1"/>
    <col min="2" max="2" width="16.75" style="67" customWidth="1"/>
    <col min="3" max="3" width="15.75" style="67" customWidth="1"/>
    <col min="4" max="4" width="16" style="67" customWidth="1"/>
    <col min="5" max="5" width="11.875" style="67" customWidth="1"/>
    <col min="6" max="6" width="6.875" style="67" customWidth="1"/>
    <col min="7" max="7" width="14" style="67" customWidth="1"/>
    <col min="8" max="8" width="7.125" style="67" customWidth="1"/>
    <col min="9" max="9" width="13.875" style="67" customWidth="1"/>
    <col min="10" max="10" width="6.875" style="67" customWidth="1"/>
    <col min="11" max="11" width="14.625" style="67" customWidth="1"/>
    <col min="12" max="12" width="7.875" style="67" customWidth="1"/>
    <col min="13" max="13" width="14.375" style="67" customWidth="1"/>
    <col min="14" max="14" width="7.25" style="67" customWidth="1"/>
    <col min="15" max="15" width="15.625" style="67" customWidth="1"/>
    <col min="16" max="16" width="8.75" style="67" customWidth="1"/>
    <col min="17" max="17" width="15.25" style="67" customWidth="1"/>
    <col min="18" max="18" width="8.25" style="67" customWidth="1"/>
    <col min="19" max="16384" width="9" style="67"/>
  </cols>
  <sheetData>
    <row r="1" spans="1:29" ht="21" customHeight="1">
      <c r="A1" s="1061" t="s">
        <v>189</v>
      </c>
      <c r="B1" s="1061"/>
      <c r="C1" s="1061"/>
      <c r="D1" s="1061"/>
      <c r="E1" s="1061"/>
      <c r="F1" s="1061"/>
      <c r="G1" s="1061"/>
      <c r="H1" s="1061"/>
      <c r="I1" s="1061"/>
      <c r="J1" s="1061"/>
      <c r="K1" s="1061"/>
      <c r="L1" s="1061"/>
      <c r="M1" s="1061"/>
      <c r="N1" s="1061"/>
      <c r="O1" s="1061"/>
      <c r="P1" s="1061"/>
      <c r="Q1" s="1061"/>
      <c r="R1" s="1061"/>
      <c r="S1" s="66"/>
    </row>
    <row r="2" spans="1:29" ht="21" customHeight="1">
      <c r="A2" s="1062" t="s">
        <v>410</v>
      </c>
      <c r="B2" s="1062"/>
      <c r="C2" s="1062"/>
      <c r="D2" s="1062"/>
      <c r="E2" s="1062"/>
      <c r="F2" s="1062"/>
      <c r="G2" s="1062"/>
      <c r="H2" s="1062"/>
      <c r="I2" s="1062"/>
      <c r="J2" s="1062"/>
      <c r="K2" s="1062"/>
      <c r="L2" s="1062"/>
      <c r="M2" s="1062"/>
      <c r="N2" s="1062"/>
      <c r="O2" s="1062"/>
      <c r="P2" s="1062"/>
      <c r="Q2" s="1062"/>
      <c r="R2" s="1062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29">
      <c r="A3" s="1060" t="str">
        <f>+งบดำเนินงาน!A3</f>
        <v>ตั้งแต่วันที่ 1 ตุลาคม 2565 - 31 ธันวาคม 2565</v>
      </c>
      <c r="B3" s="1060"/>
      <c r="C3" s="1060"/>
      <c r="D3" s="1060"/>
      <c r="E3" s="1060"/>
      <c r="F3" s="1060"/>
      <c r="G3" s="1060"/>
      <c r="H3" s="1060"/>
      <c r="I3" s="1060"/>
      <c r="J3" s="1060"/>
      <c r="K3" s="1060"/>
      <c r="L3" s="1060"/>
      <c r="M3" s="1060"/>
      <c r="N3" s="1060"/>
      <c r="O3" s="1060"/>
      <c r="P3" s="1060"/>
      <c r="Q3" s="1060"/>
      <c r="R3" s="1060"/>
      <c r="S3" s="69"/>
    </row>
    <row r="4" spans="1:29">
      <c r="A4" s="1060" t="str">
        <f>+งบดำเนินงาน!A4</f>
        <v xml:space="preserve"> เป้าหมาย อย. สิ้นสุด 31 ธ.ค.65  (ยอดเบิกจ่ายในภาพรวมรับจัดสรรงวดที่ 1 ร้อยละ 37.50 , งบลงทุน (เฉพาะรายการครุภัณฑ์จัดซื้อ) ร้อยละ 50)</v>
      </c>
      <c r="B4" s="1060"/>
      <c r="C4" s="1060"/>
      <c r="D4" s="1060"/>
      <c r="E4" s="1060"/>
      <c r="F4" s="1060"/>
      <c r="G4" s="1060"/>
      <c r="H4" s="1060"/>
      <c r="I4" s="1060"/>
      <c r="J4" s="1060"/>
      <c r="K4" s="1060"/>
      <c r="L4" s="1060"/>
      <c r="M4" s="1060"/>
      <c r="N4" s="1060"/>
      <c r="O4" s="1060"/>
      <c r="P4" s="1060"/>
      <c r="Q4" s="1060"/>
      <c r="R4" s="1060"/>
      <c r="S4" s="69"/>
    </row>
    <row r="5" spans="1:29">
      <c r="A5" s="1060" t="str">
        <f>+งบดำเนินงาน!A5</f>
        <v xml:space="preserve"> เป้าหมายตามมติ ครม สิ้นสุด 31 ธ.ค.65  (ยอดเบิกจ่ายในภาพรวม ร้อยละ 32 , งบลงทุน  ร้อยละ 19)</v>
      </c>
      <c r="B5" s="1060"/>
      <c r="C5" s="1060"/>
      <c r="D5" s="1060"/>
      <c r="E5" s="1060"/>
      <c r="F5" s="1060"/>
      <c r="G5" s="1060"/>
      <c r="H5" s="1060"/>
      <c r="I5" s="1060"/>
      <c r="J5" s="1060"/>
      <c r="K5" s="1060"/>
      <c r="L5" s="1060"/>
      <c r="M5" s="1060"/>
      <c r="N5" s="1060"/>
      <c r="O5" s="1060"/>
      <c r="P5" s="1060"/>
      <c r="Q5" s="1060"/>
      <c r="R5" s="1060"/>
      <c r="S5" s="69"/>
    </row>
    <row r="6" spans="1:29">
      <c r="A6" s="1060" t="str">
        <f>+งบดำเนินงาน!A6</f>
        <v xml:space="preserve"> เป้าหมายตามมติ ครม สิ้นสุด 31 ธ.ค.65  (ยอดใช้จ่ายในภาพรวม ร้อยละ 34.08 , งบลงทุน  ร้อยละ 28.96)</v>
      </c>
      <c r="B6" s="1060"/>
      <c r="C6" s="1060"/>
      <c r="D6" s="1060"/>
      <c r="E6" s="1060"/>
      <c r="F6" s="1060"/>
      <c r="G6" s="1060"/>
      <c r="H6" s="1060"/>
      <c r="I6" s="1060"/>
      <c r="J6" s="1060"/>
      <c r="K6" s="1060"/>
      <c r="L6" s="1060"/>
      <c r="M6" s="1060"/>
      <c r="N6" s="1060"/>
      <c r="O6" s="1060"/>
      <c r="P6" s="1060"/>
      <c r="Q6" s="1060"/>
      <c r="R6" s="1060"/>
      <c r="S6" s="69"/>
    </row>
    <row r="7" spans="1:29">
      <c r="A7" s="224" t="s">
        <v>411</v>
      </c>
      <c r="B7" s="214"/>
      <c r="C7" s="212" t="s">
        <v>191</v>
      </c>
      <c r="D7" s="212" t="s">
        <v>192</v>
      </c>
      <c r="E7" s="212" t="s">
        <v>193</v>
      </c>
      <c r="F7" s="212"/>
      <c r="G7" s="212" t="s">
        <v>194</v>
      </c>
      <c r="H7" s="212"/>
      <c r="I7" s="212" t="s">
        <v>195</v>
      </c>
      <c r="J7" s="212"/>
      <c r="K7" s="212" t="s">
        <v>196</v>
      </c>
      <c r="L7" s="212"/>
      <c r="M7" s="1054" t="s">
        <v>197</v>
      </c>
      <c r="N7" s="1054"/>
      <c r="O7" s="212" t="s">
        <v>198</v>
      </c>
      <c r="P7" s="212"/>
      <c r="Q7" s="212" t="s">
        <v>199</v>
      </c>
      <c r="R7" s="59"/>
      <c r="S7" s="69"/>
    </row>
    <row r="8" spans="1:29" s="74" customFormat="1" ht="21" customHeight="1">
      <c r="A8" s="1057" t="s">
        <v>106</v>
      </c>
      <c r="B8" s="1058" t="s">
        <v>167</v>
      </c>
      <c r="C8" s="1059" t="s">
        <v>118</v>
      </c>
      <c r="D8" s="1059" t="s">
        <v>131</v>
      </c>
      <c r="E8" s="1027" t="s">
        <v>5</v>
      </c>
      <c r="F8" s="1027"/>
      <c r="G8" s="1028" t="s">
        <v>6</v>
      </c>
      <c r="H8" s="1028"/>
      <c r="I8" s="1017" t="s">
        <v>7</v>
      </c>
      <c r="J8" s="1017"/>
      <c r="K8" s="1018" t="s">
        <v>127</v>
      </c>
      <c r="L8" s="1018"/>
      <c r="M8" s="1019" t="s">
        <v>121</v>
      </c>
      <c r="N8" s="1019"/>
      <c r="O8" s="1020" t="s">
        <v>128</v>
      </c>
      <c r="P8" s="1020"/>
      <c r="Q8" s="1020" t="s">
        <v>129</v>
      </c>
      <c r="R8" s="1020"/>
    </row>
    <row r="9" spans="1:29" s="74" customFormat="1">
      <c r="A9" s="1057"/>
      <c r="B9" s="1058"/>
      <c r="C9" s="1059"/>
      <c r="D9" s="1059"/>
      <c r="E9" s="225" t="s">
        <v>119</v>
      </c>
      <c r="F9" s="225" t="s">
        <v>124</v>
      </c>
      <c r="G9" s="225" t="s">
        <v>119</v>
      </c>
      <c r="H9" s="225" t="s">
        <v>124</v>
      </c>
      <c r="I9" s="225" t="s">
        <v>119</v>
      </c>
      <c r="J9" s="225" t="s">
        <v>124</v>
      </c>
      <c r="K9" s="225" t="s">
        <v>119</v>
      </c>
      <c r="L9" s="225" t="s">
        <v>124</v>
      </c>
      <c r="M9" s="225" t="s">
        <v>119</v>
      </c>
      <c r="N9" s="225" t="s">
        <v>124</v>
      </c>
      <c r="O9" s="225" t="s">
        <v>119</v>
      </c>
      <c r="P9" s="225" t="s">
        <v>124</v>
      </c>
      <c r="Q9" s="225" t="s">
        <v>119</v>
      </c>
      <c r="R9" s="225" t="s">
        <v>124</v>
      </c>
    </row>
    <row r="10" spans="1:29" s="74" customFormat="1">
      <c r="A10" s="226">
        <v>1</v>
      </c>
      <c r="B10" s="62" t="s">
        <v>93</v>
      </c>
      <c r="C10" s="213">
        <f>+งบดำเนินงาน!C36</f>
        <v>786900</v>
      </c>
      <c r="D10" s="213">
        <f>+งบดำเนินงาน!D36</f>
        <v>393450</v>
      </c>
      <c r="E10" s="98">
        <f>+งบดำเนินงาน!E36</f>
        <v>142260</v>
      </c>
      <c r="F10" s="98">
        <f t="shared" ref="F10:F28" si="0">+E10*100/$D10</f>
        <v>36.157072054898968</v>
      </c>
      <c r="G10" s="98">
        <f>+งบดำเนินงาน!G36</f>
        <v>4280</v>
      </c>
      <c r="H10" s="98">
        <f t="shared" ref="H10:H28" si="1">+G10*100/$D10</f>
        <v>1.0878129368407676</v>
      </c>
      <c r="I10" s="98">
        <f>+งบดำเนินงาน!I36</f>
        <v>0</v>
      </c>
      <c r="J10" s="98">
        <f t="shared" ref="J10:J28" si="2">+I10*100/$D10</f>
        <v>0</v>
      </c>
      <c r="K10" s="98">
        <f>+งบดำเนินงาน!K36</f>
        <v>219442.74</v>
      </c>
      <c r="L10" s="98">
        <f t="shared" ref="L10:L28" si="3">+K10*100/$D10</f>
        <v>55.773983987800229</v>
      </c>
      <c r="M10" s="98">
        <f>+งบดำเนินงาน!M36</f>
        <v>365982.74</v>
      </c>
      <c r="N10" s="98">
        <f t="shared" ref="N10:N28" si="4">+M10*100/$D10</f>
        <v>93.018868979539974</v>
      </c>
      <c r="O10" s="98">
        <f>+งบดำเนินงาน!O36</f>
        <v>27467.260000000009</v>
      </c>
      <c r="P10" s="98">
        <f t="shared" ref="P10:P28" si="5">+O10*100/$D10</f>
        <v>6.981131020460035</v>
      </c>
      <c r="Q10" s="98">
        <f>+งบดำเนินงาน!Q36</f>
        <v>420917.26</v>
      </c>
      <c r="R10" s="98">
        <f t="shared" ref="R10:R28" si="6">+Q10*100/C10</f>
        <v>53.490565510230013</v>
      </c>
      <c r="S10" s="238"/>
      <c r="T10" s="238"/>
    </row>
    <row r="11" spans="1:29" s="74" customFormat="1" hidden="1">
      <c r="A11" s="227"/>
      <c r="B11" s="230" t="s">
        <v>75</v>
      </c>
      <c r="C11" s="229">
        <f>+งบดำเนินงาน!C37</f>
        <v>786900</v>
      </c>
      <c r="D11" s="229">
        <f>+งบดำเนินงาน!D37</f>
        <v>393450</v>
      </c>
      <c r="E11" s="108">
        <f>+งบดำเนินงาน!E37</f>
        <v>142260</v>
      </c>
      <c r="F11" s="108">
        <f t="shared" si="0"/>
        <v>36.157072054898968</v>
      </c>
      <c r="G11" s="108">
        <f>+งบดำเนินงาน!G37</f>
        <v>4280</v>
      </c>
      <c r="H11" s="108">
        <f t="shared" si="1"/>
        <v>1.0878129368407676</v>
      </c>
      <c r="I11" s="108">
        <f>+งบดำเนินงาน!I37</f>
        <v>0</v>
      </c>
      <c r="J11" s="108">
        <f t="shared" si="2"/>
        <v>0</v>
      </c>
      <c r="K11" s="108">
        <f>+งบดำเนินงาน!K37</f>
        <v>219442.74</v>
      </c>
      <c r="L11" s="108">
        <f t="shared" si="3"/>
        <v>55.773983987800229</v>
      </c>
      <c r="M11" s="108">
        <f>+งบดำเนินงาน!M37</f>
        <v>365982.74</v>
      </c>
      <c r="N11" s="108">
        <f t="shared" si="4"/>
        <v>93.018868979539974</v>
      </c>
      <c r="O11" s="108">
        <f>+งบดำเนินงาน!O37</f>
        <v>27467.260000000009</v>
      </c>
      <c r="P11" s="108">
        <f t="shared" si="5"/>
        <v>6.981131020460035</v>
      </c>
      <c r="Q11" s="108">
        <f>+งบดำเนินงาน!Q37</f>
        <v>420917.26</v>
      </c>
      <c r="R11" s="108">
        <f t="shared" si="6"/>
        <v>53.490565510230013</v>
      </c>
      <c r="S11" s="238"/>
      <c r="T11" s="238"/>
    </row>
    <row r="12" spans="1:29" s="74" customFormat="1" hidden="1">
      <c r="A12" s="227"/>
      <c r="B12" s="230" t="s">
        <v>76</v>
      </c>
      <c r="C12" s="229">
        <f>+งบดำเนินงาน!C38</f>
        <v>0</v>
      </c>
      <c r="D12" s="229">
        <f>+งบดำเนินงาน!D38</f>
        <v>0</v>
      </c>
      <c r="E12" s="108">
        <f>+งบดำเนินงาน!E38</f>
        <v>0</v>
      </c>
      <c r="F12" s="108" t="e">
        <f t="shared" si="0"/>
        <v>#DIV/0!</v>
      </c>
      <c r="G12" s="108">
        <f>+งบดำเนินงาน!G38</f>
        <v>0</v>
      </c>
      <c r="H12" s="108" t="e">
        <f t="shared" si="1"/>
        <v>#DIV/0!</v>
      </c>
      <c r="I12" s="108">
        <f>+งบดำเนินงาน!I38</f>
        <v>0</v>
      </c>
      <c r="J12" s="108" t="e">
        <f t="shared" si="2"/>
        <v>#DIV/0!</v>
      </c>
      <c r="K12" s="108">
        <f>+งบดำเนินงาน!K38</f>
        <v>0</v>
      </c>
      <c r="L12" s="108" t="e">
        <f t="shared" si="3"/>
        <v>#DIV/0!</v>
      </c>
      <c r="M12" s="108">
        <f>+งบดำเนินงาน!M38</f>
        <v>0</v>
      </c>
      <c r="N12" s="108" t="e">
        <f t="shared" si="4"/>
        <v>#DIV/0!</v>
      </c>
      <c r="O12" s="108">
        <f>+งบดำเนินงาน!O38</f>
        <v>0</v>
      </c>
      <c r="P12" s="108" t="e">
        <f t="shared" si="5"/>
        <v>#DIV/0!</v>
      </c>
      <c r="Q12" s="108">
        <f>+งบดำเนินงาน!Q38</f>
        <v>0</v>
      </c>
      <c r="R12" s="108" t="e">
        <f t="shared" si="6"/>
        <v>#DIV/0!</v>
      </c>
      <c r="S12" s="238"/>
      <c r="T12" s="238"/>
    </row>
    <row r="13" spans="1:29" s="74" customFormat="1">
      <c r="A13" s="226">
        <v>2</v>
      </c>
      <c r="B13" s="62" t="s">
        <v>79</v>
      </c>
      <c r="C13" s="213">
        <f>+งบดำเนินงาน!C39</f>
        <v>851290</v>
      </c>
      <c r="D13" s="213">
        <f>+งบดำเนินงาน!D39</f>
        <v>529310</v>
      </c>
      <c r="E13" s="98">
        <f>+งบดำเนินงาน!E39</f>
        <v>0</v>
      </c>
      <c r="F13" s="98">
        <f t="shared" si="0"/>
        <v>0</v>
      </c>
      <c r="G13" s="98">
        <f>+งบดำเนินงาน!G39</f>
        <v>20300</v>
      </c>
      <c r="H13" s="98">
        <f t="shared" si="1"/>
        <v>3.8351816515841377</v>
      </c>
      <c r="I13" s="98">
        <f>+งบดำเนินงาน!I39</f>
        <v>0</v>
      </c>
      <c r="J13" s="98">
        <f t="shared" si="2"/>
        <v>0</v>
      </c>
      <c r="K13" s="98">
        <f>+งบดำเนินงาน!K39</f>
        <v>290033.05000000005</v>
      </c>
      <c r="L13" s="98">
        <f t="shared" si="3"/>
        <v>54.794553286353938</v>
      </c>
      <c r="M13" s="98">
        <f>+งบดำเนินงาน!M39</f>
        <v>310333.05000000005</v>
      </c>
      <c r="N13" s="98">
        <f t="shared" si="4"/>
        <v>58.629734937938075</v>
      </c>
      <c r="O13" s="98">
        <f>+งบดำเนินงาน!O39</f>
        <v>218976.94999999995</v>
      </c>
      <c r="P13" s="98">
        <f t="shared" si="5"/>
        <v>41.370265062061925</v>
      </c>
      <c r="Q13" s="98">
        <f>+งบดำเนินงาน!Q39</f>
        <v>540956.94999999995</v>
      </c>
      <c r="R13" s="98">
        <f t="shared" si="6"/>
        <v>63.545554393919808</v>
      </c>
      <c r="S13" s="238"/>
      <c r="T13" s="238"/>
    </row>
    <row r="14" spans="1:29" s="74" customFormat="1" hidden="1">
      <c r="A14" s="227"/>
      <c r="B14" s="228" t="s">
        <v>75</v>
      </c>
      <c r="C14" s="229">
        <f>+งบดำเนินงาน!C40</f>
        <v>851290</v>
      </c>
      <c r="D14" s="229">
        <f>+งบดำเนินงาน!D40</f>
        <v>529310</v>
      </c>
      <c r="E14" s="108">
        <f>+งบดำเนินงาน!E40</f>
        <v>0</v>
      </c>
      <c r="F14" s="108">
        <f t="shared" si="0"/>
        <v>0</v>
      </c>
      <c r="G14" s="108">
        <f>+งบดำเนินงาน!G40</f>
        <v>20300</v>
      </c>
      <c r="H14" s="108">
        <f t="shared" si="1"/>
        <v>3.8351816515841377</v>
      </c>
      <c r="I14" s="108">
        <f>+งบดำเนินงาน!I40</f>
        <v>0</v>
      </c>
      <c r="J14" s="108">
        <f t="shared" si="2"/>
        <v>0</v>
      </c>
      <c r="K14" s="108">
        <f>+งบดำเนินงาน!K40</f>
        <v>290033.05000000005</v>
      </c>
      <c r="L14" s="108">
        <f t="shared" si="3"/>
        <v>54.794553286353938</v>
      </c>
      <c r="M14" s="108">
        <f>+งบดำเนินงาน!M40</f>
        <v>310333.05000000005</v>
      </c>
      <c r="N14" s="108">
        <f t="shared" si="4"/>
        <v>58.629734937938075</v>
      </c>
      <c r="O14" s="108">
        <f>+งบดำเนินงาน!O40</f>
        <v>218976.94999999995</v>
      </c>
      <c r="P14" s="108">
        <f t="shared" si="5"/>
        <v>41.370265062061925</v>
      </c>
      <c r="Q14" s="108">
        <f>+งบดำเนินงาน!Q40</f>
        <v>540956.94999999995</v>
      </c>
      <c r="R14" s="108">
        <f t="shared" si="6"/>
        <v>63.545554393919808</v>
      </c>
      <c r="S14" s="238"/>
      <c r="T14" s="238"/>
    </row>
    <row r="15" spans="1:29" s="74" customFormat="1" hidden="1">
      <c r="A15" s="227"/>
      <c r="B15" s="228" t="s">
        <v>76</v>
      </c>
      <c r="C15" s="229">
        <f>+งบดำเนินงาน!C41</f>
        <v>0</v>
      </c>
      <c r="D15" s="229">
        <f>+งบดำเนินงาน!D41</f>
        <v>0</v>
      </c>
      <c r="E15" s="108">
        <f>+งบดำเนินงาน!E41</f>
        <v>0</v>
      </c>
      <c r="F15" s="108" t="e">
        <f t="shared" si="0"/>
        <v>#DIV/0!</v>
      </c>
      <c r="G15" s="108">
        <f>+งบดำเนินงาน!G41</f>
        <v>0</v>
      </c>
      <c r="H15" s="108" t="e">
        <f t="shared" si="1"/>
        <v>#DIV/0!</v>
      </c>
      <c r="I15" s="108">
        <f>+งบดำเนินงาน!I41</f>
        <v>0</v>
      </c>
      <c r="J15" s="108" t="e">
        <f t="shared" si="2"/>
        <v>#DIV/0!</v>
      </c>
      <c r="K15" s="108">
        <f>+งบดำเนินงาน!K41</f>
        <v>0</v>
      </c>
      <c r="L15" s="108" t="e">
        <f t="shared" si="3"/>
        <v>#DIV/0!</v>
      </c>
      <c r="M15" s="108">
        <f>+งบดำเนินงาน!M41</f>
        <v>0</v>
      </c>
      <c r="N15" s="108" t="e">
        <f t="shared" si="4"/>
        <v>#DIV/0!</v>
      </c>
      <c r="O15" s="108">
        <f>+งบดำเนินงาน!O41</f>
        <v>0</v>
      </c>
      <c r="P15" s="108" t="e">
        <f t="shared" si="5"/>
        <v>#DIV/0!</v>
      </c>
      <c r="Q15" s="108">
        <f>+งบดำเนินงาน!Q41</f>
        <v>0</v>
      </c>
      <c r="R15" s="108" t="e">
        <f t="shared" si="6"/>
        <v>#DIV/0!</v>
      </c>
      <c r="S15" s="238"/>
      <c r="T15" s="238"/>
    </row>
    <row r="16" spans="1:29" s="74" customFormat="1">
      <c r="A16" s="226">
        <v>3</v>
      </c>
      <c r="B16" s="62" t="s">
        <v>58</v>
      </c>
      <c r="C16" s="213">
        <f>+งบดำเนินงาน!C42</f>
        <v>395950</v>
      </c>
      <c r="D16" s="213">
        <f>+งบดำเนินงาน!D42</f>
        <v>197975</v>
      </c>
      <c r="E16" s="98">
        <f>+งบดำเนินงาน!E42</f>
        <v>0</v>
      </c>
      <c r="F16" s="98">
        <f t="shared" si="0"/>
        <v>0</v>
      </c>
      <c r="G16" s="98">
        <f>+งบดำเนินงาน!G42</f>
        <v>29760</v>
      </c>
      <c r="H16" s="98">
        <f t="shared" si="1"/>
        <v>15.032201035484277</v>
      </c>
      <c r="I16" s="98">
        <f>+งบดำเนินงาน!I42</f>
        <v>0</v>
      </c>
      <c r="J16" s="98">
        <f t="shared" si="2"/>
        <v>0</v>
      </c>
      <c r="K16" s="98">
        <f>+งบดำเนินงาน!K42</f>
        <v>104926.06</v>
      </c>
      <c r="L16" s="98">
        <f t="shared" si="3"/>
        <v>52.999651471145349</v>
      </c>
      <c r="M16" s="98">
        <f>+งบดำเนินงาน!M42</f>
        <v>134686.06</v>
      </c>
      <c r="N16" s="98">
        <f t="shared" si="4"/>
        <v>68.031852506629619</v>
      </c>
      <c r="O16" s="98">
        <f>+งบดำเนินงาน!O42</f>
        <v>63288.94</v>
      </c>
      <c r="P16" s="98">
        <f t="shared" si="5"/>
        <v>31.968147493370374</v>
      </c>
      <c r="Q16" s="98">
        <f>+งบดำเนินงาน!Q42</f>
        <v>261263.94</v>
      </c>
      <c r="R16" s="98">
        <f t="shared" si="6"/>
        <v>65.984073746685183</v>
      </c>
      <c r="S16" s="238"/>
      <c r="T16" s="238"/>
    </row>
    <row r="17" spans="1:20" s="74" customFormat="1" hidden="1">
      <c r="A17" s="227"/>
      <c r="B17" s="228" t="s">
        <v>75</v>
      </c>
      <c r="C17" s="229">
        <f>+งบดำเนินงาน!C43</f>
        <v>395950</v>
      </c>
      <c r="D17" s="229">
        <f>+งบดำเนินงาน!D43</f>
        <v>197975</v>
      </c>
      <c r="E17" s="108">
        <f>+งบดำเนินงาน!E43</f>
        <v>0</v>
      </c>
      <c r="F17" s="108">
        <f t="shared" si="0"/>
        <v>0</v>
      </c>
      <c r="G17" s="108">
        <f>+งบดำเนินงาน!G43</f>
        <v>29760</v>
      </c>
      <c r="H17" s="108">
        <f t="shared" si="1"/>
        <v>15.032201035484277</v>
      </c>
      <c r="I17" s="108">
        <f>+งบดำเนินงาน!I43</f>
        <v>0</v>
      </c>
      <c r="J17" s="108">
        <f t="shared" si="2"/>
        <v>0</v>
      </c>
      <c r="K17" s="108">
        <f>+งบดำเนินงาน!K43</f>
        <v>104926.06</v>
      </c>
      <c r="L17" s="108">
        <f t="shared" si="3"/>
        <v>52.999651471145349</v>
      </c>
      <c r="M17" s="108">
        <f>+งบดำเนินงาน!M43</f>
        <v>134686.06</v>
      </c>
      <c r="N17" s="108">
        <f t="shared" si="4"/>
        <v>68.031852506629619</v>
      </c>
      <c r="O17" s="108">
        <f>+งบดำเนินงาน!O43</f>
        <v>63288.94</v>
      </c>
      <c r="P17" s="108">
        <f t="shared" si="5"/>
        <v>31.968147493370374</v>
      </c>
      <c r="Q17" s="108">
        <f>+งบดำเนินงาน!Q43</f>
        <v>261263.94</v>
      </c>
      <c r="R17" s="108">
        <f t="shared" si="6"/>
        <v>65.984073746685183</v>
      </c>
      <c r="S17" s="238"/>
      <c r="T17" s="238"/>
    </row>
    <row r="18" spans="1:20" s="74" customFormat="1" hidden="1">
      <c r="A18" s="227"/>
      <c r="B18" s="228" t="s">
        <v>76</v>
      </c>
      <c r="C18" s="229">
        <f>+งบดำเนินงาน!C44</f>
        <v>0</v>
      </c>
      <c r="D18" s="229">
        <f>+งบดำเนินงาน!D44</f>
        <v>0</v>
      </c>
      <c r="E18" s="108">
        <f>+งบดำเนินงาน!E44</f>
        <v>0</v>
      </c>
      <c r="F18" s="108" t="e">
        <f t="shared" si="0"/>
        <v>#DIV/0!</v>
      </c>
      <c r="G18" s="108">
        <f>+งบดำเนินงาน!G44</f>
        <v>0</v>
      </c>
      <c r="H18" s="108" t="e">
        <f t="shared" si="1"/>
        <v>#DIV/0!</v>
      </c>
      <c r="I18" s="108">
        <f>+งบดำเนินงาน!I44</f>
        <v>0</v>
      </c>
      <c r="J18" s="108" t="e">
        <f t="shared" si="2"/>
        <v>#DIV/0!</v>
      </c>
      <c r="K18" s="108">
        <f>+งบดำเนินงาน!K44</f>
        <v>0</v>
      </c>
      <c r="L18" s="108" t="e">
        <f t="shared" si="3"/>
        <v>#DIV/0!</v>
      </c>
      <c r="M18" s="108">
        <f>+งบดำเนินงาน!M44</f>
        <v>0</v>
      </c>
      <c r="N18" s="108" t="e">
        <f t="shared" si="4"/>
        <v>#DIV/0!</v>
      </c>
      <c r="O18" s="108">
        <f>+งบดำเนินงาน!O44</f>
        <v>0</v>
      </c>
      <c r="P18" s="108" t="e">
        <f t="shared" si="5"/>
        <v>#DIV/0!</v>
      </c>
      <c r="Q18" s="108">
        <f>+งบดำเนินงาน!Q44</f>
        <v>0</v>
      </c>
      <c r="R18" s="108" t="e">
        <f t="shared" si="6"/>
        <v>#DIV/0!</v>
      </c>
      <c r="S18" s="238"/>
      <c r="T18" s="238"/>
    </row>
    <row r="19" spans="1:20" s="74" customFormat="1">
      <c r="A19" s="226">
        <v>4</v>
      </c>
      <c r="B19" s="62" t="s">
        <v>84</v>
      </c>
      <c r="C19" s="213">
        <f>+งบดำเนินงาน!C45+งบดำเนินงาน!C21</f>
        <v>7560110</v>
      </c>
      <c r="D19" s="213">
        <f>+งบดำเนินงาน!D45+งบดำเนินงาน!D21</f>
        <v>4883710</v>
      </c>
      <c r="E19" s="98">
        <f>+งบดำเนินงาน!E45+งบดำเนินงาน!E21</f>
        <v>0</v>
      </c>
      <c r="F19" s="98">
        <f t="shared" si="0"/>
        <v>0</v>
      </c>
      <c r="G19" s="98">
        <f>+งบดำเนินงาน!G45+งบดำเนินงาน!G21</f>
        <v>83202</v>
      </c>
      <c r="H19" s="98">
        <f t="shared" si="1"/>
        <v>1.7036638129618671</v>
      </c>
      <c r="I19" s="98">
        <f>+งบดำเนินงาน!I45+งบดำเนินงาน!I21</f>
        <v>82627.3</v>
      </c>
      <c r="J19" s="98">
        <f t="shared" si="2"/>
        <v>1.6918961199579827</v>
      </c>
      <c r="K19" s="98">
        <f>+งบดำเนินงาน!K45+งบดำเนินงาน!K21</f>
        <v>2542293.19</v>
      </c>
      <c r="L19" s="98">
        <f t="shared" si="3"/>
        <v>52.056596112381776</v>
      </c>
      <c r="M19" s="98">
        <f>+งบดำเนินงาน!M45+งบดำเนินงาน!M21</f>
        <v>2708122.4899999998</v>
      </c>
      <c r="N19" s="98">
        <f t="shared" si="4"/>
        <v>55.452156045301628</v>
      </c>
      <c r="O19" s="98">
        <f>+งบดำเนินงาน!O45+งบดำเนินงาน!O21</f>
        <v>2175587.5100000002</v>
      </c>
      <c r="P19" s="98">
        <f t="shared" si="5"/>
        <v>44.547843954698379</v>
      </c>
      <c r="Q19" s="98">
        <f>+งบดำเนินงาน!Q45+งบดำเนินงาน!Q21</f>
        <v>4851987.51</v>
      </c>
      <c r="R19" s="98">
        <f t="shared" si="6"/>
        <v>64.178795149806021</v>
      </c>
      <c r="S19" s="238"/>
      <c r="T19" s="238"/>
    </row>
    <row r="20" spans="1:20" s="74" customFormat="1" hidden="1">
      <c r="A20" s="227"/>
      <c r="B20" s="228" t="s">
        <v>75</v>
      </c>
      <c r="C20" s="229">
        <f>+งบดำเนินงาน!C46+งบดำเนินงาน!C21</f>
        <v>7176110</v>
      </c>
      <c r="D20" s="229">
        <f>+งบดำเนินงาน!D46+งบดำเนินงาน!D21</f>
        <v>4499710</v>
      </c>
      <c r="E20" s="108">
        <f>+งบดำเนินงาน!E46+งบดำเนินงาน!E21</f>
        <v>0</v>
      </c>
      <c r="F20" s="108">
        <f t="shared" si="0"/>
        <v>0</v>
      </c>
      <c r="G20" s="108">
        <f>+งบดำเนินงาน!G46+งบดำเนินงาน!G21</f>
        <v>83202</v>
      </c>
      <c r="H20" s="108">
        <f t="shared" si="1"/>
        <v>1.8490524944940896</v>
      </c>
      <c r="I20" s="108">
        <f>+งบดำเนินงาน!I46+งบดำเนินงาน!I21</f>
        <v>82627.3</v>
      </c>
      <c r="J20" s="108">
        <f t="shared" si="2"/>
        <v>1.836280560302775</v>
      </c>
      <c r="K20" s="108">
        <f>+งบดำเนินงาน!K46+งบดำเนินงาน!K21</f>
        <v>2490823.19</v>
      </c>
      <c r="L20" s="108">
        <f t="shared" si="3"/>
        <v>55.355193779154654</v>
      </c>
      <c r="M20" s="108">
        <f>+งบดำเนินงาน!M46+งบดำเนินงาน!M21</f>
        <v>2656652.4899999998</v>
      </c>
      <c r="N20" s="108">
        <f t="shared" si="4"/>
        <v>59.040526833951517</v>
      </c>
      <c r="O20" s="108">
        <f>+งบดำเนินงาน!O46+งบดำเนินงาน!O21</f>
        <v>1843057.5100000002</v>
      </c>
      <c r="P20" s="108">
        <f t="shared" si="5"/>
        <v>40.959473166048483</v>
      </c>
      <c r="Q20" s="108">
        <f>+งบดำเนินงาน!Q46+งบดำเนินงาน!Q21</f>
        <v>4519457.51</v>
      </c>
      <c r="R20" s="108">
        <f t="shared" si="6"/>
        <v>62.979211717769097</v>
      </c>
      <c r="S20" s="238"/>
      <c r="T20" s="238"/>
    </row>
    <row r="21" spans="1:20" s="74" customFormat="1" hidden="1">
      <c r="A21" s="227"/>
      <c r="B21" s="228" t="s">
        <v>76</v>
      </c>
      <c r="C21" s="229">
        <f>+งบดำเนินงาน!C47</f>
        <v>384000</v>
      </c>
      <c r="D21" s="229">
        <f>+งบดำเนินงาน!D47</f>
        <v>384000</v>
      </c>
      <c r="E21" s="108">
        <f>+งบดำเนินงาน!E47</f>
        <v>0</v>
      </c>
      <c r="F21" s="108">
        <f t="shared" si="0"/>
        <v>0</v>
      </c>
      <c r="G21" s="108">
        <f>+งบดำเนินงาน!G47</f>
        <v>0</v>
      </c>
      <c r="H21" s="108">
        <f t="shared" si="1"/>
        <v>0</v>
      </c>
      <c r="I21" s="108">
        <f>+งบดำเนินงาน!I47</f>
        <v>0</v>
      </c>
      <c r="J21" s="108">
        <f t="shared" si="2"/>
        <v>0</v>
      </c>
      <c r="K21" s="108">
        <f>+งบดำเนินงาน!K47</f>
        <v>51470</v>
      </c>
      <c r="L21" s="108">
        <f t="shared" si="3"/>
        <v>13.403645833333334</v>
      </c>
      <c r="M21" s="108">
        <f>+งบดำเนินงาน!M47</f>
        <v>51470</v>
      </c>
      <c r="N21" s="108">
        <f t="shared" si="4"/>
        <v>13.403645833333334</v>
      </c>
      <c r="O21" s="108">
        <f>+งบดำเนินงาน!O47</f>
        <v>332530</v>
      </c>
      <c r="P21" s="108">
        <f t="shared" si="5"/>
        <v>86.596354166666671</v>
      </c>
      <c r="Q21" s="108">
        <f>+งบดำเนินงาน!Q47</f>
        <v>332530</v>
      </c>
      <c r="R21" s="108">
        <f t="shared" si="6"/>
        <v>86.596354166666671</v>
      </c>
      <c r="S21" s="238"/>
      <c r="T21" s="238"/>
    </row>
    <row r="22" spans="1:20" s="74" customFormat="1">
      <c r="A22" s="226">
        <v>5</v>
      </c>
      <c r="B22" s="62" t="s">
        <v>80</v>
      </c>
      <c r="C22" s="213">
        <f>+งบดำเนินงาน!C48+งบดำเนินงาน!C22</f>
        <v>701600</v>
      </c>
      <c r="D22" s="213">
        <f>+งบดำเนินงาน!D48+งบดำเนินงาน!D22</f>
        <v>350800</v>
      </c>
      <c r="E22" s="98">
        <f>+งบดำเนินงาน!E48+งบดำเนินงาน!E22</f>
        <v>0</v>
      </c>
      <c r="F22" s="98">
        <f t="shared" si="0"/>
        <v>0</v>
      </c>
      <c r="G22" s="98">
        <f>+งบดำเนินงาน!G48+งบดำเนินงาน!G22</f>
        <v>16800</v>
      </c>
      <c r="H22" s="98">
        <f t="shared" si="1"/>
        <v>4.7890535917901937</v>
      </c>
      <c r="I22" s="98">
        <f>+งบดำเนินงาน!I48+งบดำเนินงาน!I22</f>
        <v>0</v>
      </c>
      <c r="J22" s="98">
        <f t="shared" si="2"/>
        <v>0</v>
      </c>
      <c r="K22" s="98">
        <f>+งบดำเนินงาน!K48+งบดำเนินงาน!K22</f>
        <v>167715.90000000002</v>
      </c>
      <c r="L22" s="98">
        <f t="shared" si="3"/>
        <v>47.809549600912206</v>
      </c>
      <c r="M22" s="98">
        <f>+งบดำเนินงาน!M48+งบดำเนินงาน!M22</f>
        <v>184515.90000000002</v>
      </c>
      <c r="N22" s="98">
        <f t="shared" si="4"/>
        <v>52.598603192702406</v>
      </c>
      <c r="O22" s="98">
        <f>+งบดำเนินงาน!O48+งบดำเนินงาน!O22</f>
        <v>166284.09999999998</v>
      </c>
      <c r="P22" s="98">
        <f t="shared" si="5"/>
        <v>47.401396807297601</v>
      </c>
      <c r="Q22" s="98">
        <f>+งบดำเนินงาน!Q48+งบดำเนินงาน!Q22</f>
        <v>517084.1</v>
      </c>
      <c r="R22" s="98">
        <f t="shared" si="6"/>
        <v>73.700698403648801</v>
      </c>
      <c r="S22" s="238"/>
      <c r="T22" s="238"/>
    </row>
    <row r="23" spans="1:20" s="74" customFormat="1" hidden="1">
      <c r="A23" s="227"/>
      <c r="B23" s="228" t="s">
        <v>75</v>
      </c>
      <c r="C23" s="229">
        <f>+งบดำเนินงาน!C49+งบดำเนินงาน!C22</f>
        <v>701600</v>
      </c>
      <c r="D23" s="229">
        <f>+งบดำเนินงาน!D49+งบดำเนินงาน!D22</f>
        <v>350800</v>
      </c>
      <c r="E23" s="108">
        <f>+งบดำเนินงาน!E49+งบดำเนินงาน!E22</f>
        <v>0</v>
      </c>
      <c r="F23" s="108">
        <f t="shared" si="0"/>
        <v>0</v>
      </c>
      <c r="G23" s="108">
        <f>+งบดำเนินงาน!G49+งบดำเนินงาน!G22</f>
        <v>16800</v>
      </c>
      <c r="H23" s="108">
        <f t="shared" si="1"/>
        <v>4.7890535917901937</v>
      </c>
      <c r="I23" s="108">
        <f>+งบดำเนินงาน!I49+งบดำเนินงาน!I22</f>
        <v>0</v>
      </c>
      <c r="J23" s="108">
        <f t="shared" si="2"/>
        <v>0</v>
      </c>
      <c r="K23" s="108">
        <f>+งบดำเนินงาน!K49+งบดำเนินงาน!K22</f>
        <v>167715.90000000002</v>
      </c>
      <c r="L23" s="108">
        <f t="shared" si="3"/>
        <v>47.809549600912206</v>
      </c>
      <c r="M23" s="108">
        <f>+งบดำเนินงาน!M49+งบดำเนินงาน!M22</f>
        <v>184515.90000000002</v>
      </c>
      <c r="N23" s="108">
        <f t="shared" si="4"/>
        <v>52.598603192702406</v>
      </c>
      <c r="O23" s="108">
        <f>+งบดำเนินงาน!O49+งบดำเนินงาน!O22</f>
        <v>166284.09999999998</v>
      </c>
      <c r="P23" s="108">
        <f t="shared" si="5"/>
        <v>47.401396807297601</v>
      </c>
      <c r="Q23" s="108">
        <f>+งบดำเนินงาน!Q49+งบดำเนินงาน!Q22</f>
        <v>517084.1</v>
      </c>
      <c r="R23" s="108">
        <f t="shared" si="6"/>
        <v>73.700698403648801</v>
      </c>
      <c r="S23" s="238"/>
      <c r="T23" s="238"/>
    </row>
    <row r="24" spans="1:20" s="74" customFormat="1" hidden="1">
      <c r="A24" s="227"/>
      <c r="B24" s="228" t="s">
        <v>76</v>
      </c>
      <c r="C24" s="229">
        <f>+งบดำเนินงาน!C50</f>
        <v>0</v>
      </c>
      <c r="D24" s="229">
        <f>+งบดำเนินงาน!D50</f>
        <v>0</v>
      </c>
      <c r="E24" s="108">
        <f>+งบดำเนินงาน!E50</f>
        <v>0</v>
      </c>
      <c r="F24" s="108" t="e">
        <f t="shared" si="0"/>
        <v>#DIV/0!</v>
      </c>
      <c r="G24" s="108">
        <f>+งบดำเนินงาน!G50</f>
        <v>0</v>
      </c>
      <c r="H24" s="108" t="e">
        <f t="shared" si="1"/>
        <v>#DIV/0!</v>
      </c>
      <c r="I24" s="108">
        <f>+งบดำเนินงาน!I50</f>
        <v>0</v>
      </c>
      <c r="J24" s="108" t="e">
        <f t="shared" si="2"/>
        <v>#DIV/0!</v>
      </c>
      <c r="K24" s="108">
        <f>+งบดำเนินงาน!K50</f>
        <v>0</v>
      </c>
      <c r="L24" s="108" t="e">
        <f t="shared" si="3"/>
        <v>#DIV/0!</v>
      </c>
      <c r="M24" s="108">
        <f>+งบดำเนินงาน!M50</f>
        <v>0</v>
      </c>
      <c r="N24" s="108" t="e">
        <f t="shared" si="4"/>
        <v>#DIV/0!</v>
      </c>
      <c r="O24" s="108">
        <f>+งบดำเนินงาน!O50</f>
        <v>0</v>
      </c>
      <c r="P24" s="108" t="e">
        <f t="shared" si="5"/>
        <v>#DIV/0!</v>
      </c>
      <c r="Q24" s="108">
        <f>+งบดำเนินงาน!Q50</f>
        <v>0</v>
      </c>
      <c r="R24" s="108" t="e">
        <f t="shared" si="6"/>
        <v>#DIV/0!</v>
      </c>
      <c r="S24" s="238"/>
      <c r="T24" s="238"/>
    </row>
    <row r="25" spans="1:20" s="74" customFormat="1">
      <c r="A25" s="226">
        <v>6</v>
      </c>
      <c r="B25" s="62" t="s">
        <v>90</v>
      </c>
      <c r="C25" s="213">
        <f>+งบดำเนินงาน!C33+งบดำเนินงาน!C20+งบดำเนินงาน!C139</f>
        <v>13098020</v>
      </c>
      <c r="D25" s="213">
        <f>+งบดำเนินงาน!D33+งบดำเนินงาน!D20+งบดำเนินงาน!D139</f>
        <v>5984970</v>
      </c>
      <c r="E25" s="98">
        <f>+งบดำเนินงาน!E33+งบดำเนินงาน!E20+งบดำเนินงาน!E139</f>
        <v>0</v>
      </c>
      <c r="F25" s="98">
        <f t="shared" si="0"/>
        <v>0</v>
      </c>
      <c r="G25" s="98">
        <f>+งบดำเนินงาน!G33+งบดำเนินงาน!G20+งบดำเนินงาน!G139</f>
        <v>135595</v>
      </c>
      <c r="H25" s="98">
        <f t="shared" si="1"/>
        <v>2.2655919745629469</v>
      </c>
      <c r="I25" s="98">
        <f>+งบดำเนินงาน!I33+งบดำเนินงาน!I20+งบดำเนินงาน!I139</f>
        <v>0</v>
      </c>
      <c r="J25" s="98">
        <f t="shared" si="2"/>
        <v>0</v>
      </c>
      <c r="K25" s="98">
        <f>+งบดำเนินงาน!K33+งบดำเนินงาน!K20+งบดำเนินงาน!K139</f>
        <v>2763253.8899999997</v>
      </c>
      <c r="L25" s="98">
        <f t="shared" si="3"/>
        <v>46.169887067103083</v>
      </c>
      <c r="M25" s="98">
        <f>+งบดำเนินงาน!M33+งบดำเนินงาน!M20+งบดำเนินงาน!M139</f>
        <v>2898848.8899999997</v>
      </c>
      <c r="N25" s="98">
        <f t="shared" si="4"/>
        <v>48.435479041666028</v>
      </c>
      <c r="O25" s="98">
        <f>+งบดำเนินงาน!O33+งบดำเนินงาน!O20+งบดำเนินงาน!O139</f>
        <v>3086121.1100000003</v>
      </c>
      <c r="P25" s="98">
        <f t="shared" si="5"/>
        <v>51.564520958333972</v>
      </c>
      <c r="Q25" s="98">
        <f>+งบดำเนินงาน!Q33+งบดำเนินงาน!Q20+งบดำเนินงาน!Q139</f>
        <v>10199171.109999999</v>
      </c>
      <c r="R25" s="98">
        <f t="shared" si="6"/>
        <v>77.868037382749449</v>
      </c>
      <c r="S25" s="238"/>
      <c r="T25" s="238"/>
    </row>
    <row r="26" spans="1:20" s="74" customFormat="1" hidden="1">
      <c r="A26" s="227"/>
      <c r="B26" s="228" t="s">
        <v>75</v>
      </c>
      <c r="C26" s="229">
        <f>+งบดำเนินงาน!C34+งบดำเนินงาน!C20+งบดำเนินงาน!C139</f>
        <v>13080520</v>
      </c>
      <c r="D26" s="229">
        <f>+งบดำเนินงาน!D34+งบดำเนินงาน!D20+งบดำเนินงาน!D139</f>
        <v>5967470</v>
      </c>
      <c r="E26" s="108">
        <f>+งบดำเนินงาน!E34+งบดำเนินงาน!E20+งบดำเนินงาน!E139</f>
        <v>0</v>
      </c>
      <c r="F26" s="108">
        <f t="shared" si="0"/>
        <v>0</v>
      </c>
      <c r="G26" s="108">
        <f>+งบดำเนินงาน!G34+งบดำเนินงาน!G20+งบดำเนินงาน!G139</f>
        <v>135595</v>
      </c>
      <c r="H26" s="108">
        <f t="shared" si="1"/>
        <v>2.2722359726986476</v>
      </c>
      <c r="I26" s="108">
        <f>+งบดำเนินงาน!I34+งบดำเนินงาน!I20+งบดำเนินงาน!I139</f>
        <v>0</v>
      </c>
      <c r="J26" s="108">
        <f t="shared" si="2"/>
        <v>0</v>
      </c>
      <c r="K26" s="108">
        <f>+งบดำเนินงาน!K34+งบดำเนินงาน!K20+งบดำเนินงาน!K139</f>
        <v>2763253.8899999997</v>
      </c>
      <c r="L26" s="108">
        <f t="shared" si="3"/>
        <v>46.305283311017895</v>
      </c>
      <c r="M26" s="108">
        <f>+งบดำเนินงาน!M34+งบดำเนินงาน!M20+งบดำเนินงาน!M139</f>
        <v>2898848.8899999997</v>
      </c>
      <c r="N26" s="108">
        <f t="shared" si="4"/>
        <v>48.577519283716541</v>
      </c>
      <c r="O26" s="108">
        <f>+งบดำเนินงาน!O34+งบดำเนินงาน!O20+งบดำเนินงาน!O139</f>
        <v>3068621.1100000003</v>
      </c>
      <c r="P26" s="108">
        <f t="shared" si="5"/>
        <v>51.422480716283459</v>
      </c>
      <c r="Q26" s="108">
        <f>+งบดำเนินงาน!Q34+งบดำเนินงาน!Q20+งบดำเนินงาน!Q139</f>
        <v>10181671.109999999</v>
      </c>
      <c r="R26" s="108">
        <f t="shared" si="6"/>
        <v>77.838427753636708</v>
      </c>
      <c r="S26" s="238"/>
      <c r="T26" s="238"/>
    </row>
    <row r="27" spans="1:20" s="74" customFormat="1" hidden="1">
      <c r="A27" s="227"/>
      <c r="B27" s="228" t="s">
        <v>76</v>
      </c>
      <c r="C27" s="229">
        <f>+งบดำเนินงาน!C35</f>
        <v>17500</v>
      </c>
      <c r="D27" s="229">
        <f>+งบดำเนินงาน!D35</f>
        <v>17500</v>
      </c>
      <c r="E27" s="108">
        <f>+งบดำเนินงาน!E35</f>
        <v>0</v>
      </c>
      <c r="F27" s="108">
        <f t="shared" si="0"/>
        <v>0</v>
      </c>
      <c r="G27" s="108">
        <f>+งบดำเนินงาน!G35</f>
        <v>0</v>
      </c>
      <c r="H27" s="108">
        <f t="shared" si="1"/>
        <v>0</v>
      </c>
      <c r="I27" s="108">
        <f>+งบดำเนินงาน!I35</f>
        <v>0</v>
      </c>
      <c r="J27" s="108">
        <f t="shared" si="2"/>
        <v>0</v>
      </c>
      <c r="K27" s="108">
        <f>+งบดำเนินงาน!K35</f>
        <v>0</v>
      </c>
      <c r="L27" s="108">
        <f t="shared" si="3"/>
        <v>0</v>
      </c>
      <c r="M27" s="108">
        <f>+งบดำเนินงาน!M35</f>
        <v>0</v>
      </c>
      <c r="N27" s="108">
        <f t="shared" si="4"/>
        <v>0</v>
      </c>
      <c r="O27" s="108">
        <f>+งบดำเนินงาน!O35</f>
        <v>17500</v>
      </c>
      <c r="P27" s="108">
        <f t="shared" si="5"/>
        <v>100</v>
      </c>
      <c r="Q27" s="108">
        <f>+งบดำเนินงาน!Q35</f>
        <v>17500</v>
      </c>
      <c r="R27" s="108">
        <f t="shared" si="6"/>
        <v>100</v>
      </c>
      <c r="S27" s="238"/>
      <c r="T27" s="238"/>
    </row>
    <row r="28" spans="1:20" s="74" customFormat="1">
      <c r="A28" s="226">
        <v>7</v>
      </c>
      <c r="B28" s="62" t="s">
        <v>200</v>
      </c>
      <c r="C28" s="213">
        <f>+งบดำเนินงาน!C51+งบดำเนินงาน!C12+งบดำเนินงาน!C13</f>
        <v>3385404</v>
      </c>
      <c r="D28" s="213">
        <f>+งบดำเนินงาน!D51+งบดำเนินงาน!D12+งบดำเนินงาน!D13</f>
        <v>2503254</v>
      </c>
      <c r="E28" s="98">
        <f>+งบดำเนินงาน!E51+งบดำเนินงาน!E12+งบดำเนินงาน!E13</f>
        <v>0</v>
      </c>
      <c r="F28" s="98">
        <f t="shared" si="0"/>
        <v>0</v>
      </c>
      <c r="G28" s="98">
        <f>+งบดำเนินงาน!G51+งบดำเนินงาน!G12+งบดำเนินงาน!G13</f>
        <v>4020</v>
      </c>
      <c r="H28" s="98">
        <f t="shared" si="1"/>
        <v>0.16059097478721696</v>
      </c>
      <c r="I28" s="98">
        <f>+งบดำเนินงาน!I51+งบดำเนินงาน!I12+งบดำเนินงาน!I13</f>
        <v>0</v>
      </c>
      <c r="J28" s="98">
        <f t="shared" si="2"/>
        <v>0</v>
      </c>
      <c r="K28" s="98">
        <f>+งบดำเนินงาน!K51+งบดำเนินงาน!K12+งบดำเนินงาน!K13</f>
        <v>1133530.56</v>
      </c>
      <c r="L28" s="98">
        <f t="shared" si="3"/>
        <v>45.282282980472615</v>
      </c>
      <c r="M28" s="98">
        <f>+งบดำเนินงาน!M51+งบดำเนินงาน!M12+งบดำเนินงาน!M13</f>
        <v>1137550.56</v>
      </c>
      <c r="N28" s="98">
        <f t="shared" si="4"/>
        <v>45.442873955259834</v>
      </c>
      <c r="O28" s="98">
        <f>+งบดำเนินงาน!O51+งบดำเนินงาน!O12+งบดำเนินงาน!O13</f>
        <v>1365703.44</v>
      </c>
      <c r="P28" s="98">
        <f t="shared" si="5"/>
        <v>54.557126044740166</v>
      </c>
      <c r="Q28" s="98">
        <f>+งบดำเนินงาน!Q51+งบดำเนินงาน!Q12+งบดำเนินงาน!Q13</f>
        <v>2247853.44</v>
      </c>
      <c r="R28" s="98">
        <f t="shared" si="6"/>
        <v>66.398380813634063</v>
      </c>
      <c r="S28" s="238"/>
      <c r="T28" s="238"/>
    </row>
    <row r="29" spans="1:20" s="74" customFormat="1" hidden="1">
      <c r="A29" s="227"/>
      <c r="B29" s="228" t="s">
        <v>87</v>
      </c>
      <c r="C29" s="229">
        <f>+งบดำเนินงาน!C52+งบดำเนินงาน!C12</f>
        <v>2468624</v>
      </c>
      <c r="D29" s="229">
        <f>+งบดำเนินงาน!D52+งบดำเนินงาน!D12</f>
        <v>1855624</v>
      </c>
      <c r="E29" s="108">
        <f>+งบดำเนินงาน!E52+งบดำเนินงาน!E12</f>
        <v>0</v>
      </c>
      <c r="F29" s="108">
        <f t="shared" ref="F29:F77" si="7">+E29*100/$D29</f>
        <v>0</v>
      </c>
      <c r="G29" s="108">
        <f>+งบดำเนินงาน!G52+งบดำเนินงาน!G12</f>
        <v>0</v>
      </c>
      <c r="H29" s="108">
        <f t="shared" ref="H29:H77" si="8">+G29*100/$D29</f>
        <v>0</v>
      </c>
      <c r="I29" s="108">
        <f>+งบดำเนินงาน!I52+งบดำเนินงาน!I12</f>
        <v>0</v>
      </c>
      <c r="J29" s="108">
        <f t="shared" ref="J29:J77" si="9">+I29*100/$D29</f>
        <v>0</v>
      </c>
      <c r="K29" s="108">
        <f>+งบดำเนินงาน!K52+งบดำเนินงาน!K12</f>
        <v>839092.51</v>
      </c>
      <c r="L29" s="108">
        <f t="shared" ref="L29:L77" si="10">+K29*100/$D29</f>
        <v>45.218886477001803</v>
      </c>
      <c r="M29" s="108">
        <f>+งบดำเนินงาน!M52+งบดำเนินงาน!M12</f>
        <v>839092.51</v>
      </c>
      <c r="N29" s="108">
        <f t="shared" ref="N29:N77" si="11">+M29*100/$D29</f>
        <v>45.218886477001803</v>
      </c>
      <c r="O29" s="108">
        <f>+งบดำเนินงาน!O52+งบดำเนินงาน!O12</f>
        <v>1016531.49</v>
      </c>
      <c r="P29" s="108">
        <f t="shared" ref="P29:P76" si="12">+O29*100/$D29</f>
        <v>54.781113522998197</v>
      </c>
      <c r="Q29" s="108">
        <f>+งบดำเนินงาน!Q52+งบดำเนินงาน!Q12</f>
        <v>1629531.49</v>
      </c>
      <c r="R29" s="108">
        <f t="shared" ref="R29:R76" si="13">+Q29*100/C29</f>
        <v>66.009707837240498</v>
      </c>
      <c r="S29" s="238"/>
      <c r="T29" s="238"/>
    </row>
    <row r="30" spans="1:20" s="74" customFormat="1" hidden="1">
      <c r="A30" s="227"/>
      <c r="B30" s="228" t="s">
        <v>75</v>
      </c>
      <c r="C30" s="229">
        <f>+งบดำเนินงาน!C53+งบดำเนินงาน!C12</f>
        <v>2042124</v>
      </c>
      <c r="D30" s="229">
        <f>+งบดำเนินงาน!D53+งบดำเนินงาน!D12</f>
        <v>1429124</v>
      </c>
      <c r="E30" s="108">
        <f>+งบดำเนินงาน!E53+งบดำเนินงาน!E12</f>
        <v>0</v>
      </c>
      <c r="F30" s="108">
        <f t="shared" si="7"/>
        <v>0</v>
      </c>
      <c r="G30" s="108">
        <f>+งบดำเนินงาน!G53+งบดำเนินงาน!G12</f>
        <v>0</v>
      </c>
      <c r="H30" s="108">
        <f t="shared" si="8"/>
        <v>0</v>
      </c>
      <c r="I30" s="108">
        <f>+งบดำเนินงาน!I53+งบดำเนินงาน!I12</f>
        <v>0</v>
      </c>
      <c r="J30" s="108">
        <f t="shared" si="9"/>
        <v>0</v>
      </c>
      <c r="K30" s="108">
        <f>+งบดำเนินงาน!K53+งบดำเนินงาน!K12</f>
        <v>839092.51</v>
      </c>
      <c r="L30" s="108">
        <f t="shared" si="10"/>
        <v>58.7137652156146</v>
      </c>
      <c r="M30" s="108">
        <f>+งบดำเนินงาน!M53+งบดำเนินงาน!M12</f>
        <v>839092.51</v>
      </c>
      <c r="N30" s="108">
        <f t="shared" si="11"/>
        <v>58.7137652156146</v>
      </c>
      <c r="O30" s="108">
        <f>+งบดำเนินงาน!O53+งบดำเนินงาน!O12</f>
        <v>590031.49</v>
      </c>
      <c r="P30" s="108">
        <f t="shared" si="12"/>
        <v>41.2862347843854</v>
      </c>
      <c r="Q30" s="108">
        <f>+งบดำเนินงาน!Q53+งบดำเนินงาน!Q12</f>
        <v>1203031.49</v>
      </c>
      <c r="R30" s="108">
        <f t="shared" si="13"/>
        <v>58.910795328785127</v>
      </c>
      <c r="S30" s="238"/>
      <c r="T30" s="238"/>
    </row>
    <row r="31" spans="1:20" s="74" customFormat="1" hidden="1">
      <c r="A31" s="227"/>
      <c r="B31" s="228" t="s">
        <v>76</v>
      </c>
      <c r="C31" s="229">
        <f>+งบดำเนินงาน!C54</f>
        <v>426500</v>
      </c>
      <c r="D31" s="229">
        <f>+งบดำเนินงาน!D54</f>
        <v>426500</v>
      </c>
      <c r="E31" s="108">
        <f>+งบดำเนินงาน!E54</f>
        <v>0</v>
      </c>
      <c r="F31" s="108">
        <f t="shared" si="7"/>
        <v>0</v>
      </c>
      <c r="G31" s="108">
        <f>+งบดำเนินงาน!G54</f>
        <v>0</v>
      </c>
      <c r="H31" s="108">
        <f t="shared" si="8"/>
        <v>0</v>
      </c>
      <c r="I31" s="108">
        <f>+งบดำเนินงาน!I54</f>
        <v>0</v>
      </c>
      <c r="J31" s="108">
        <f t="shared" si="9"/>
        <v>0</v>
      </c>
      <c r="K31" s="108">
        <f>+งบดำเนินงาน!K54</f>
        <v>0</v>
      </c>
      <c r="L31" s="108">
        <f t="shared" si="10"/>
        <v>0</v>
      </c>
      <c r="M31" s="108">
        <f>+งบดำเนินงาน!M54</f>
        <v>0</v>
      </c>
      <c r="N31" s="108">
        <f t="shared" si="11"/>
        <v>0</v>
      </c>
      <c r="O31" s="108">
        <f>+งบดำเนินงาน!O54</f>
        <v>426500</v>
      </c>
      <c r="P31" s="108">
        <f t="shared" si="12"/>
        <v>100</v>
      </c>
      <c r="Q31" s="108">
        <f>+งบดำเนินงาน!Q54</f>
        <v>426500</v>
      </c>
      <c r="R31" s="108">
        <f t="shared" si="13"/>
        <v>100</v>
      </c>
      <c r="S31" s="238"/>
      <c r="T31" s="238"/>
    </row>
    <row r="32" spans="1:20" s="74" customFormat="1" hidden="1">
      <c r="A32" s="227"/>
      <c r="B32" s="228" t="s">
        <v>88</v>
      </c>
      <c r="C32" s="229">
        <f>+งบดำเนินงาน!C55+งบดำเนินงาน!C13</f>
        <v>916780</v>
      </c>
      <c r="D32" s="229">
        <f>+งบดำเนินงาน!D55+งบดำเนินงาน!D13</f>
        <v>647630</v>
      </c>
      <c r="E32" s="108">
        <f>+งบดำเนินงาน!E55+งบดำเนินงาน!E13</f>
        <v>0</v>
      </c>
      <c r="F32" s="108">
        <f t="shared" si="7"/>
        <v>0</v>
      </c>
      <c r="G32" s="108">
        <f>+งบดำเนินงาน!G55+งบดำเนินงาน!G13</f>
        <v>4020</v>
      </c>
      <c r="H32" s="108">
        <f t="shared" si="8"/>
        <v>0.62072479656594048</v>
      </c>
      <c r="I32" s="108">
        <f>+งบดำเนินงาน!I55+งบดำเนินงาน!I13</f>
        <v>0</v>
      </c>
      <c r="J32" s="108">
        <f t="shared" si="9"/>
        <v>0</v>
      </c>
      <c r="K32" s="108">
        <f>+งบดำเนินงาน!K55+งบดำเนินงาน!K13</f>
        <v>294438.05000000005</v>
      </c>
      <c r="L32" s="108">
        <f t="shared" si="10"/>
        <v>45.463930021771695</v>
      </c>
      <c r="M32" s="108">
        <f>+งบดำเนินงาน!M55+งบดำเนินงาน!M13</f>
        <v>298458.05000000005</v>
      </c>
      <c r="N32" s="108">
        <f t="shared" si="11"/>
        <v>46.08465481833764</v>
      </c>
      <c r="O32" s="108">
        <f>+งบดำเนินงาน!O55+งบดำเนินงาน!O13</f>
        <v>349171.94999999995</v>
      </c>
      <c r="P32" s="108">
        <f t="shared" si="12"/>
        <v>53.91534518166236</v>
      </c>
      <c r="Q32" s="108">
        <f>+งบดำเนินงาน!Q55+งบดำเนินงาน!Q13</f>
        <v>618321.94999999995</v>
      </c>
      <c r="R32" s="108">
        <f t="shared" si="13"/>
        <v>67.444964986147156</v>
      </c>
      <c r="S32" s="238"/>
      <c r="T32" s="238"/>
    </row>
    <row r="33" spans="1:20" s="74" customFormat="1" hidden="1">
      <c r="A33" s="227"/>
      <c r="B33" s="228" t="s">
        <v>75</v>
      </c>
      <c r="C33" s="229">
        <f>+งบดำเนินงาน!C56+งบดำเนินงาน!C13</f>
        <v>813780</v>
      </c>
      <c r="D33" s="229">
        <f>+งบดำเนินงาน!D56+งบดำเนินงาน!D13</f>
        <v>544630</v>
      </c>
      <c r="E33" s="108">
        <f>+งบดำเนินงาน!E56+งบดำเนินงาน!E13</f>
        <v>0</v>
      </c>
      <c r="F33" s="108">
        <f t="shared" si="7"/>
        <v>0</v>
      </c>
      <c r="G33" s="108">
        <f>+งบดำเนินงาน!G56+งบดำเนินงาน!G13</f>
        <v>4020</v>
      </c>
      <c r="H33" s="108">
        <f t="shared" si="8"/>
        <v>0.73811578502836783</v>
      </c>
      <c r="I33" s="108">
        <f>+งบดำเนินงาน!I56+งบดำเนินงาน!I13</f>
        <v>0</v>
      </c>
      <c r="J33" s="108">
        <f t="shared" si="9"/>
        <v>0</v>
      </c>
      <c r="K33" s="108">
        <f>+งบดำเนินงาน!K56+งบดำเนินงาน!K13</f>
        <v>294438.05000000005</v>
      </c>
      <c r="L33" s="108">
        <f t="shared" si="10"/>
        <v>54.062032939793994</v>
      </c>
      <c r="M33" s="108">
        <f>+งบดำเนินงาน!M56+งบดำเนินงาน!M13</f>
        <v>298458.05000000005</v>
      </c>
      <c r="N33" s="108">
        <f t="shared" si="11"/>
        <v>54.800148724822364</v>
      </c>
      <c r="O33" s="108">
        <f>+งบดำเนินงาน!O56+งบดำเนินงาน!O13</f>
        <v>246171.94999999995</v>
      </c>
      <c r="P33" s="108">
        <f t="shared" si="12"/>
        <v>45.199851275177636</v>
      </c>
      <c r="Q33" s="108">
        <f>+งบดำเนินงาน!Q56+งบดำเนินงาน!Q13</f>
        <v>515321.94999999995</v>
      </c>
      <c r="R33" s="108">
        <f t="shared" si="13"/>
        <v>63.324479589078123</v>
      </c>
      <c r="S33" s="238"/>
      <c r="T33" s="238"/>
    </row>
    <row r="34" spans="1:20" s="74" customFormat="1" hidden="1">
      <c r="A34" s="227"/>
      <c r="B34" s="228" t="s">
        <v>76</v>
      </c>
      <c r="C34" s="229">
        <f>+งบดำเนินงาน!C57</f>
        <v>103000</v>
      </c>
      <c r="D34" s="229">
        <f>+งบดำเนินงาน!D57</f>
        <v>103000</v>
      </c>
      <c r="E34" s="108">
        <f>+งบดำเนินงาน!E57</f>
        <v>0</v>
      </c>
      <c r="F34" s="108">
        <f t="shared" si="7"/>
        <v>0</v>
      </c>
      <c r="G34" s="108">
        <f>+งบดำเนินงาน!G57</f>
        <v>0</v>
      </c>
      <c r="H34" s="108">
        <f t="shared" si="8"/>
        <v>0</v>
      </c>
      <c r="I34" s="108">
        <f>+งบดำเนินงาน!I57</f>
        <v>0</v>
      </c>
      <c r="J34" s="108">
        <f t="shared" si="9"/>
        <v>0</v>
      </c>
      <c r="K34" s="108">
        <f>+งบดำเนินงาน!K57</f>
        <v>0</v>
      </c>
      <c r="L34" s="108">
        <f t="shared" si="10"/>
        <v>0</v>
      </c>
      <c r="M34" s="108">
        <f>+งบดำเนินงาน!M57</f>
        <v>0</v>
      </c>
      <c r="N34" s="108">
        <f t="shared" si="11"/>
        <v>0</v>
      </c>
      <c r="O34" s="108">
        <f>+งบดำเนินงาน!O57</f>
        <v>103000</v>
      </c>
      <c r="P34" s="108">
        <f t="shared" si="12"/>
        <v>100</v>
      </c>
      <c r="Q34" s="108">
        <f>+งบดำเนินงาน!Q57</f>
        <v>103000</v>
      </c>
      <c r="R34" s="108">
        <f t="shared" si="13"/>
        <v>100</v>
      </c>
      <c r="S34" s="238"/>
      <c r="T34" s="238"/>
    </row>
    <row r="35" spans="1:20" s="74" customFormat="1">
      <c r="A35" s="226">
        <v>8</v>
      </c>
      <c r="B35" s="62" t="s">
        <v>77</v>
      </c>
      <c r="C35" s="213">
        <f>+งบดำเนินงาน!C64</f>
        <v>6228660</v>
      </c>
      <c r="D35" s="213">
        <f>+งบดำเนินงาน!D64</f>
        <v>3030210</v>
      </c>
      <c r="E35" s="98">
        <f>+งบดำเนินงาน!E64</f>
        <v>0</v>
      </c>
      <c r="F35" s="98">
        <f>+E35*100/$D35</f>
        <v>0</v>
      </c>
      <c r="G35" s="98">
        <f>+งบดำเนินงาน!G64</f>
        <v>3885</v>
      </c>
      <c r="H35" s="98">
        <f>+G35*100/$D35</f>
        <v>0.12820893601433564</v>
      </c>
      <c r="I35" s="98">
        <f>+งบดำเนินงาน!I64</f>
        <v>199648</v>
      </c>
      <c r="J35" s="98">
        <f>+I35*100/$D35</f>
        <v>6.5885862695984763</v>
      </c>
      <c r="K35" s="98">
        <f>+งบดำเนินงาน!K64</f>
        <v>1249987.27</v>
      </c>
      <c r="L35" s="98">
        <f>+K35*100/$D35</f>
        <v>41.25084631098175</v>
      </c>
      <c r="M35" s="98">
        <f>+งบดำเนินงาน!M64</f>
        <v>1453520.27</v>
      </c>
      <c r="N35" s="98">
        <f>+M35*100/$D35</f>
        <v>47.967641516594561</v>
      </c>
      <c r="O35" s="98">
        <f>+งบดำเนินงาน!O64</f>
        <v>1576689.73</v>
      </c>
      <c r="P35" s="98">
        <f>+O35*100/$D35</f>
        <v>52.032358483405439</v>
      </c>
      <c r="Q35" s="98">
        <f>+งบดำเนินงาน!Q64</f>
        <v>4775139.7300000004</v>
      </c>
      <c r="R35" s="98">
        <f>+Q35*100/C35</f>
        <v>76.663997232149455</v>
      </c>
      <c r="S35" s="238"/>
      <c r="T35" s="238"/>
    </row>
    <row r="36" spans="1:20" s="74" customFormat="1" hidden="1">
      <c r="A36" s="227"/>
      <c r="B36" s="228" t="s">
        <v>75</v>
      </c>
      <c r="C36" s="229">
        <f>+งบดำเนินงาน!C65</f>
        <v>6228660</v>
      </c>
      <c r="D36" s="229">
        <f>+งบดำเนินงาน!D65</f>
        <v>3030210</v>
      </c>
      <c r="E36" s="108">
        <f>+งบดำเนินงาน!E65</f>
        <v>0</v>
      </c>
      <c r="F36" s="108">
        <f>+E36*100/$D36</f>
        <v>0</v>
      </c>
      <c r="G36" s="108">
        <f>+งบดำเนินงาน!G65</f>
        <v>3885</v>
      </c>
      <c r="H36" s="108">
        <f>+G36*100/$D36</f>
        <v>0.12820893601433564</v>
      </c>
      <c r="I36" s="108">
        <f>+งบดำเนินงาน!I65</f>
        <v>199648</v>
      </c>
      <c r="J36" s="108">
        <f>+I36*100/$D36</f>
        <v>6.5885862695984763</v>
      </c>
      <c r="K36" s="108">
        <f>+งบดำเนินงาน!K65</f>
        <v>1249987.27</v>
      </c>
      <c r="L36" s="108">
        <f>+K36*100/$D36</f>
        <v>41.25084631098175</v>
      </c>
      <c r="M36" s="108">
        <f>+งบดำเนินงาน!M65</f>
        <v>1453520.27</v>
      </c>
      <c r="N36" s="108">
        <f>+M36*100/$D36</f>
        <v>47.967641516594561</v>
      </c>
      <c r="O36" s="108">
        <f>+งบดำเนินงาน!O65</f>
        <v>1576689.73</v>
      </c>
      <c r="P36" s="108">
        <f>+O36*100/$D36</f>
        <v>52.032358483405439</v>
      </c>
      <c r="Q36" s="108">
        <f>+งบดำเนินงาน!Q65</f>
        <v>4775139.7300000004</v>
      </c>
      <c r="R36" s="108">
        <f>+Q36*100/C36</f>
        <v>76.663997232149455</v>
      </c>
      <c r="S36" s="238"/>
      <c r="T36" s="238"/>
    </row>
    <row r="37" spans="1:20" s="74" customFormat="1" hidden="1">
      <c r="A37" s="227"/>
      <c r="B37" s="228" t="s">
        <v>76</v>
      </c>
      <c r="C37" s="229">
        <f>+งบดำเนินงาน!C66</f>
        <v>0</v>
      </c>
      <c r="D37" s="229">
        <f>+งบดำเนินงาน!D66</f>
        <v>0</v>
      </c>
      <c r="E37" s="108">
        <f>+งบดำเนินงาน!E66</f>
        <v>0</v>
      </c>
      <c r="F37" s="108" t="e">
        <f>+E37*100/$D37</f>
        <v>#DIV/0!</v>
      </c>
      <c r="G37" s="108">
        <f>+งบดำเนินงาน!G66</f>
        <v>0</v>
      </c>
      <c r="H37" s="108" t="e">
        <f>+G37*100/$D37</f>
        <v>#DIV/0!</v>
      </c>
      <c r="I37" s="108">
        <f>+งบดำเนินงาน!I66</f>
        <v>0</v>
      </c>
      <c r="J37" s="108" t="e">
        <f>+I37*100/$D37</f>
        <v>#DIV/0!</v>
      </c>
      <c r="K37" s="108">
        <f>+งบดำเนินงาน!K66</f>
        <v>0</v>
      </c>
      <c r="L37" s="108" t="e">
        <f>+K37*100/$D37</f>
        <v>#DIV/0!</v>
      </c>
      <c r="M37" s="108">
        <f>+งบดำเนินงาน!M66</f>
        <v>0</v>
      </c>
      <c r="N37" s="108" t="e">
        <f>+M37*100/$D37</f>
        <v>#DIV/0!</v>
      </c>
      <c r="O37" s="108">
        <f>+งบดำเนินงาน!O66</f>
        <v>0</v>
      </c>
      <c r="P37" s="108" t="e">
        <f>+O37*100/$D37</f>
        <v>#DIV/0!</v>
      </c>
      <c r="Q37" s="108">
        <f>+งบดำเนินงาน!Q66</f>
        <v>0</v>
      </c>
      <c r="R37" s="108" t="e">
        <f>+Q37*100/C37</f>
        <v>#DIV/0!</v>
      </c>
      <c r="S37" s="238"/>
      <c r="T37" s="238"/>
    </row>
    <row r="38" spans="1:20" s="74" customFormat="1">
      <c r="A38" s="226">
        <v>9</v>
      </c>
      <c r="B38" s="62" t="s">
        <v>81</v>
      </c>
      <c r="C38" s="213">
        <f>+งบดำเนินงาน!C67+งบดำเนินงาน!C18</f>
        <v>2997480</v>
      </c>
      <c r="D38" s="213">
        <f>+งบดำเนินงาน!D67+งบดำเนินงาน!D18</f>
        <v>1973780</v>
      </c>
      <c r="E38" s="98">
        <f>+งบดำเนินงาน!E67+งบดำเนินงาน!E18</f>
        <v>0</v>
      </c>
      <c r="F38" s="98">
        <f t="shared" si="7"/>
        <v>0</v>
      </c>
      <c r="G38" s="98">
        <f>+งบดำเนินงาน!G67+งบดำเนินงาน!G18</f>
        <v>47340</v>
      </c>
      <c r="H38" s="98">
        <f t="shared" si="8"/>
        <v>2.3984435955374965</v>
      </c>
      <c r="I38" s="98">
        <f>+งบดำเนินงาน!I67+งบดำเนินงาน!I18</f>
        <v>32027.05</v>
      </c>
      <c r="J38" s="98">
        <f t="shared" si="9"/>
        <v>1.6226251152610727</v>
      </c>
      <c r="K38" s="98">
        <f>+งบดำเนินงาน!K67+งบดำเนินงาน!K18</f>
        <v>760880</v>
      </c>
      <c r="L38" s="98">
        <f t="shared" si="10"/>
        <v>38.549382403307362</v>
      </c>
      <c r="M38" s="98">
        <f>+งบดำเนินงาน!M67+งบดำเนินงาน!M18</f>
        <v>840247.05</v>
      </c>
      <c r="N38" s="98">
        <f t="shared" si="11"/>
        <v>42.570451114105929</v>
      </c>
      <c r="O38" s="98">
        <f>+งบดำเนินงาน!O67+งบดำเนินงาน!O18</f>
        <v>1133532.95</v>
      </c>
      <c r="P38" s="98">
        <f t="shared" si="12"/>
        <v>57.429548885894071</v>
      </c>
      <c r="Q38" s="98">
        <f>+งบดำเนินงาน!Q67+งบดำเนินงาน!Q18</f>
        <v>2157232.9500000002</v>
      </c>
      <c r="R38" s="98">
        <f t="shared" si="13"/>
        <v>71.96821830337484</v>
      </c>
      <c r="S38" s="238"/>
      <c r="T38" s="238"/>
    </row>
    <row r="39" spans="1:20" s="74" customFormat="1" hidden="1">
      <c r="A39" s="227"/>
      <c r="B39" s="228" t="s">
        <v>75</v>
      </c>
      <c r="C39" s="229">
        <f>+งบดำเนินงาน!C68+งบดำเนินงาน!C18</f>
        <v>2614980</v>
      </c>
      <c r="D39" s="229">
        <f>+งบดำเนินงาน!D68+งบดำเนินงาน!D18</f>
        <v>1591280</v>
      </c>
      <c r="E39" s="108">
        <f>+งบดำเนินงาน!E68+งบดำเนินงาน!E18</f>
        <v>0</v>
      </c>
      <c r="F39" s="108">
        <f t="shared" si="7"/>
        <v>0</v>
      </c>
      <c r="G39" s="108">
        <f>+งบดำเนินงาน!G68+งบดำเนินงาน!G18</f>
        <v>47340</v>
      </c>
      <c r="H39" s="108">
        <f t="shared" si="8"/>
        <v>2.9749635513548842</v>
      </c>
      <c r="I39" s="108">
        <f>+งบดำเนินงาน!I68+งบดำเนินงาน!I18</f>
        <v>32027.05</v>
      </c>
      <c r="J39" s="108">
        <f t="shared" si="9"/>
        <v>2.0126596199286109</v>
      </c>
      <c r="K39" s="108">
        <f>+งบดำเนินงาน!K68+งบดำเนินงาน!K18</f>
        <v>760880</v>
      </c>
      <c r="L39" s="108">
        <f t="shared" si="10"/>
        <v>47.815594992710274</v>
      </c>
      <c r="M39" s="108">
        <f>+งบดำเนินงาน!M68+งบดำเนินงาน!M18</f>
        <v>840247.05</v>
      </c>
      <c r="N39" s="108">
        <f t="shared" si="11"/>
        <v>52.803218163993769</v>
      </c>
      <c r="O39" s="108">
        <f>+งบดำเนินงาน!O68+งบดำเนินงาน!O18</f>
        <v>751032.95</v>
      </c>
      <c r="P39" s="108">
        <f t="shared" si="12"/>
        <v>47.196781836006231</v>
      </c>
      <c r="Q39" s="108">
        <f>+งบดำเนินงาน!Q68+งบดำเนินงาน!Q18</f>
        <v>1774732.95</v>
      </c>
      <c r="R39" s="108">
        <f t="shared" si="13"/>
        <v>67.867935892435128</v>
      </c>
      <c r="S39" s="238"/>
      <c r="T39" s="238"/>
    </row>
    <row r="40" spans="1:20" s="74" customFormat="1" hidden="1">
      <c r="A40" s="227"/>
      <c r="B40" s="228" t="s">
        <v>76</v>
      </c>
      <c r="C40" s="229">
        <f>+งบดำเนินงาน!C69</f>
        <v>382500</v>
      </c>
      <c r="D40" s="229">
        <f>+งบดำเนินงาน!D69</f>
        <v>382500</v>
      </c>
      <c r="E40" s="108">
        <f>+งบดำเนินงาน!E69</f>
        <v>0</v>
      </c>
      <c r="F40" s="108">
        <f t="shared" si="7"/>
        <v>0</v>
      </c>
      <c r="G40" s="108">
        <f>+งบดำเนินงาน!G69</f>
        <v>0</v>
      </c>
      <c r="H40" s="108">
        <f t="shared" si="8"/>
        <v>0</v>
      </c>
      <c r="I40" s="108">
        <f>+งบดำเนินงาน!I69</f>
        <v>0</v>
      </c>
      <c r="J40" s="108">
        <f t="shared" si="9"/>
        <v>0</v>
      </c>
      <c r="K40" s="108">
        <f>+งบดำเนินงาน!K69</f>
        <v>0</v>
      </c>
      <c r="L40" s="108">
        <f t="shared" si="10"/>
        <v>0</v>
      </c>
      <c r="M40" s="108">
        <f>+งบดำเนินงาน!M69</f>
        <v>0</v>
      </c>
      <c r="N40" s="108">
        <f t="shared" si="11"/>
        <v>0</v>
      </c>
      <c r="O40" s="108">
        <f>+งบดำเนินงาน!O69</f>
        <v>382500</v>
      </c>
      <c r="P40" s="108">
        <f t="shared" si="12"/>
        <v>100</v>
      </c>
      <c r="Q40" s="108">
        <f>+งบดำเนินงาน!Q69</f>
        <v>382500</v>
      </c>
      <c r="R40" s="108">
        <f t="shared" si="13"/>
        <v>100</v>
      </c>
      <c r="S40" s="238"/>
      <c r="T40" s="238"/>
    </row>
    <row r="41" spans="1:20" s="74" customFormat="1">
      <c r="A41" s="226">
        <v>10</v>
      </c>
      <c r="B41" s="62" t="s">
        <v>57</v>
      </c>
      <c r="C41" s="213">
        <f>+งบดำเนินงาน!C76</f>
        <v>153630</v>
      </c>
      <c r="D41" s="213">
        <f>+งบดำเนินงาน!D76</f>
        <v>76815</v>
      </c>
      <c r="E41" s="98">
        <f>+งบดำเนินงาน!E76</f>
        <v>28700</v>
      </c>
      <c r="F41" s="98">
        <f>+E41*100/$D41</f>
        <v>37.362494304497822</v>
      </c>
      <c r="G41" s="98">
        <f>+งบดำเนินงาน!G76</f>
        <v>0</v>
      </c>
      <c r="H41" s="98">
        <f>+G41*100/$D41</f>
        <v>0</v>
      </c>
      <c r="I41" s="98">
        <f>+งบดำเนินงาน!I76</f>
        <v>0</v>
      </c>
      <c r="J41" s="98">
        <f>+I41*100/$D41</f>
        <v>0</v>
      </c>
      <c r="K41" s="98">
        <f>+งบดำเนินงาน!K76</f>
        <v>26966.58</v>
      </c>
      <c r="L41" s="98">
        <f>+K41*100/$D41</f>
        <v>35.105877758250344</v>
      </c>
      <c r="M41" s="98">
        <f>+งบดำเนินงาน!M76</f>
        <v>55666.58</v>
      </c>
      <c r="N41" s="98">
        <f>+M41*100/$D41</f>
        <v>72.468372062748159</v>
      </c>
      <c r="O41" s="98">
        <f>+งบดำเนินงาน!O76</f>
        <v>21148.42</v>
      </c>
      <c r="P41" s="98">
        <f>+O41*100/$D41</f>
        <v>27.531627937251837</v>
      </c>
      <c r="Q41" s="98">
        <f>+งบดำเนินงาน!Q76</f>
        <v>97963.42</v>
      </c>
      <c r="R41" s="98">
        <f>+Q41*100/C41</f>
        <v>63.76581396862592</v>
      </c>
      <c r="S41" s="238"/>
      <c r="T41" s="238"/>
    </row>
    <row r="42" spans="1:20" s="74" customFormat="1" hidden="1">
      <c r="A42" s="227"/>
      <c r="B42" s="230" t="s">
        <v>75</v>
      </c>
      <c r="C42" s="229">
        <f>+งบดำเนินงาน!C77</f>
        <v>153630</v>
      </c>
      <c r="D42" s="229">
        <f>+งบดำเนินงาน!D77</f>
        <v>76815</v>
      </c>
      <c r="E42" s="108">
        <f>+งบดำเนินงาน!E77</f>
        <v>28700</v>
      </c>
      <c r="F42" s="108">
        <f>+E42*100/$D42</f>
        <v>37.362494304497822</v>
      </c>
      <c r="G42" s="108">
        <f>+งบดำเนินงาน!G77</f>
        <v>0</v>
      </c>
      <c r="H42" s="108">
        <f>+G42*100/$D42</f>
        <v>0</v>
      </c>
      <c r="I42" s="108">
        <f>+งบดำเนินงาน!I77</f>
        <v>0</v>
      </c>
      <c r="J42" s="108">
        <f>+I42*100/$D42</f>
        <v>0</v>
      </c>
      <c r="K42" s="108">
        <f>+งบดำเนินงาน!K77</f>
        <v>26966.58</v>
      </c>
      <c r="L42" s="108">
        <f>+K42*100/$D42</f>
        <v>35.105877758250344</v>
      </c>
      <c r="M42" s="108">
        <f>+งบดำเนินงาน!M77</f>
        <v>55666.58</v>
      </c>
      <c r="N42" s="108">
        <f>+M42*100/$D42</f>
        <v>72.468372062748159</v>
      </c>
      <c r="O42" s="108">
        <f>+งบดำเนินงาน!O77</f>
        <v>21148.42</v>
      </c>
      <c r="P42" s="108">
        <f>+O42*100/$D42</f>
        <v>27.531627937251837</v>
      </c>
      <c r="Q42" s="108">
        <f>+งบดำเนินงาน!Q77</f>
        <v>97963.42</v>
      </c>
      <c r="R42" s="108">
        <f>+Q42*100/C42</f>
        <v>63.76581396862592</v>
      </c>
      <c r="S42" s="238"/>
      <c r="T42" s="238"/>
    </row>
    <row r="43" spans="1:20" s="74" customFormat="1" hidden="1">
      <c r="A43" s="227"/>
      <c r="B43" s="230" t="s">
        <v>76</v>
      </c>
      <c r="C43" s="229">
        <f>+งบดำเนินงาน!C78</f>
        <v>0</v>
      </c>
      <c r="D43" s="229">
        <f>+งบดำเนินงาน!D78</f>
        <v>0</v>
      </c>
      <c r="E43" s="108">
        <f>+งบดำเนินงาน!E78</f>
        <v>0</v>
      </c>
      <c r="F43" s="108" t="e">
        <f>+E43*100/$D43</f>
        <v>#DIV/0!</v>
      </c>
      <c r="G43" s="108">
        <f>+งบดำเนินงาน!G78</f>
        <v>0</v>
      </c>
      <c r="H43" s="108" t="e">
        <f>+G43*100/$D43</f>
        <v>#DIV/0!</v>
      </c>
      <c r="I43" s="108">
        <f>+งบดำเนินงาน!I78</f>
        <v>0</v>
      </c>
      <c r="J43" s="108" t="e">
        <f>+I43*100/$D43</f>
        <v>#DIV/0!</v>
      </c>
      <c r="K43" s="108">
        <f>+งบดำเนินงาน!K78</f>
        <v>0</v>
      </c>
      <c r="L43" s="108" t="e">
        <f>+K43*100/$D43</f>
        <v>#DIV/0!</v>
      </c>
      <c r="M43" s="108">
        <f>+งบดำเนินงาน!M78</f>
        <v>0</v>
      </c>
      <c r="N43" s="108" t="e">
        <f>+M43*100/$D43</f>
        <v>#DIV/0!</v>
      </c>
      <c r="O43" s="108">
        <f>+งบดำเนินงาน!O78</f>
        <v>0</v>
      </c>
      <c r="P43" s="108" t="e">
        <f>+O43*100/$D43</f>
        <v>#DIV/0!</v>
      </c>
      <c r="Q43" s="108">
        <f>+งบดำเนินงาน!Q78</f>
        <v>0</v>
      </c>
      <c r="R43" s="108" t="e">
        <f>+Q43*100/C43</f>
        <v>#DIV/0!</v>
      </c>
      <c r="S43" s="238"/>
      <c r="T43" s="238"/>
    </row>
    <row r="44" spans="1:20" s="74" customFormat="1">
      <c r="A44" s="226">
        <v>11</v>
      </c>
      <c r="B44" s="62" t="s">
        <v>83</v>
      </c>
      <c r="C44" s="213">
        <f>+งบดำเนินงาน!C70+งบดำเนินงาน!C16+ยาเสพติด!C9</f>
        <v>10729960</v>
      </c>
      <c r="D44" s="213">
        <f>+งบดำเนินงาน!D70+งบดำเนินงาน!D16+ยาเสพติด!D9</f>
        <v>5507460</v>
      </c>
      <c r="E44" s="98">
        <f>+งบดำเนินงาน!E70+งบดำเนินงาน!E16+ยาเสพติด!E9</f>
        <v>0</v>
      </c>
      <c r="F44" s="98">
        <f t="shared" ref="F44:F56" si="14">+E44*100/$D44</f>
        <v>0</v>
      </c>
      <c r="G44" s="98">
        <f>+งบดำเนินงาน!G70+งบดำเนินงาน!G16+ยาเสพติด!G9</f>
        <v>49093.5</v>
      </c>
      <c r="H44" s="98">
        <f t="shared" ref="H44:H56" si="15">+G44*100/$D44</f>
        <v>0.89140002832521703</v>
      </c>
      <c r="I44" s="98">
        <f>+งบดำเนินงาน!I70+งบดำเนินงาน!I16+ยาเสพติด!I9</f>
        <v>0</v>
      </c>
      <c r="J44" s="98">
        <f t="shared" ref="J44:J56" si="16">+I44*100/$D44</f>
        <v>0</v>
      </c>
      <c r="K44" s="98">
        <f>+งบดำเนินงาน!K70+งบดำเนินงาน!K16+ยาเสพติด!K9</f>
        <v>1844397.6400000001</v>
      </c>
      <c r="L44" s="98">
        <f t="shared" ref="L44:L56" si="17">+K44*100/$D44</f>
        <v>33.489079176244587</v>
      </c>
      <c r="M44" s="98">
        <f>+งบดำเนินงาน!M70+งบดำเนินงาน!M16+ยาเสพติด!M9</f>
        <v>1893491.1400000001</v>
      </c>
      <c r="N44" s="98">
        <f t="shared" ref="N44:N56" si="18">+M44*100/$D44</f>
        <v>34.380479204569802</v>
      </c>
      <c r="O44" s="98">
        <f>+งบดำเนินงาน!O70+งบดำเนินงาน!O16+ยาเสพติด!O9</f>
        <v>3613968.86</v>
      </c>
      <c r="P44" s="98">
        <f t="shared" ref="P44:P56" si="19">+O44*100/$D44</f>
        <v>65.619520795430205</v>
      </c>
      <c r="Q44" s="98">
        <f>+งบดำเนินงาน!Q70+งบดำเนินงาน!Q16+ยาเสพติด!Q9</f>
        <v>8836468.8599999994</v>
      </c>
      <c r="R44" s="98">
        <f t="shared" ref="R44:R56" si="20">+Q44*100/C44</f>
        <v>82.353232071694578</v>
      </c>
      <c r="S44" s="238"/>
      <c r="T44" s="238"/>
    </row>
    <row r="45" spans="1:20" s="74" customFormat="1">
      <c r="A45" s="227"/>
      <c r="B45" s="228" t="s">
        <v>408</v>
      </c>
      <c r="C45" s="229">
        <f>+งบดำเนินงาน!C71+งบดำเนินงาน!C16</f>
        <v>2322460</v>
      </c>
      <c r="D45" s="229">
        <f>+งบดำเนินงาน!D71+งบดำเนินงาน!D16</f>
        <v>1303710</v>
      </c>
      <c r="E45" s="108">
        <f>+งบดำเนินงาน!E71+งบดำเนินงาน!E16</f>
        <v>0</v>
      </c>
      <c r="F45" s="108">
        <f t="shared" si="14"/>
        <v>0</v>
      </c>
      <c r="G45" s="108">
        <f>+งบดำเนินงาน!G71+งบดำเนินงาน!G16</f>
        <v>1787</v>
      </c>
      <c r="H45" s="108">
        <f t="shared" si="15"/>
        <v>0.13707036073973505</v>
      </c>
      <c r="I45" s="108">
        <f>+งบดำเนินงาน!I71+งบดำเนินงาน!I16</f>
        <v>0</v>
      </c>
      <c r="J45" s="108">
        <f t="shared" si="16"/>
        <v>0</v>
      </c>
      <c r="K45" s="108">
        <f>+งบดำเนินงาน!K71+งบดำเนินงาน!K16</f>
        <v>502285.64</v>
      </c>
      <c r="L45" s="108">
        <f t="shared" si="17"/>
        <v>38.527405634688698</v>
      </c>
      <c r="M45" s="108">
        <f>+งบดำเนินงาน!M71+งบดำเนินงาน!M16</f>
        <v>504072.64</v>
      </c>
      <c r="N45" s="108">
        <f t="shared" si="18"/>
        <v>38.664475995428432</v>
      </c>
      <c r="O45" s="108">
        <f>+งบดำเนินงาน!O71+งบดำเนินงาน!O16</f>
        <v>799637.36</v>
      </c>
      <c r="P45" s="108">
        <f t="shared" si="19"/>
        <v>61.335524004571568</v>
      </c>
      <c r="Q45" s="108">
        <f>+งบดำเนินงาน!Q71+งบดำเนินงาน!Q16</f>
        <v>1818387.3599999999</v>
      </c>
      <c r="R45" s="108">
        <f t="shared" si="20"/>
        <v>78.29574502897789</v>
      </c>
      <c r="S45" s="238"/>
      <c r="T45" s="238"/>
    </row>
    <row r="46" spans="1:20" s="74" customFormat="1" hidden="1">
      <c r="A46" s="227"/>
      <c r="B46" s="228" t="s">
        <v>76</v>
      </c>
      <c r="C46" s="229">
        <f>+งบดำเนินงาน!C72</f>
        <v>0</v>
      </c>
      <c r="D46" s="229">
        <f>+งบดำเนินงาน!D72</f>
        <v>0</v>
      </c>
      <c r="E46" s="108">
        <f>+งบดำเนินงาน!E72</f>
        <v>0</v>
      </c>
      <c r="F46" s="108" t="e">
        <f t="shared" si="14"/>
        <v>#DIV/0!</v>
      </c>
      <c r="G46" s="108">
        <f>+งบดำเนินงาน!G72</f>
        <v>0</v>
      </c>
      <c r="H46" s="108" t="e">
        <f t="shared" si="15"/>
        <v>#DIV/0!</v>
      </c>
      <c r="I46" s="108">
        <f>+งบดำเนินงาน!I72</f>
        <v>0</v>
      </c>
      <c r="J46" s="108" t="e">
        <f t="shared" si="16"/>
        <v>#DIV/0!</v>
      </c>
      <c r="K46" s="108">
        <f>+งบดำเนินงาน!K72</f>
        <v>0</v>
      </c>
      <c r="L46" s="108" t="e">
        <f t="shared" si="17"/>
        <v>#DIV/0!</v>
      </c>
      <c r="M46" s="108">
        <f>+งบดำเนินงาน!M72</f>
        <v>0</v>
      </c>
      <c r="N46" s="108" t="e">
        <f t="shared" si="18"/>
        <v>#DIV/0!</v>
      </c>
      <c r="O46" s="108">
        <f>+งบดำเนินงาน!O72</f>
        <v>0</v>
      </c>
      <c r="P46" s="108" t="e">
        <f t="shared" si="19"/>
        <v>#DIV/0!</v>
      </c>
      <c r="Q46" s="108">
        <f>+งบดำเนินงาน!Q72</f>
        <v>0</v>
      </c>
      <c r="R46" s="108" t="e">
        <f t="shared" si="20"/>
        <v>#DIV/0!</v>
      </c>
      <c r="S46" s="238"/>
      <c r="T46" s="238"/>
    </row>
    <row r="47" spans="1:20" s="74" customFormat="1">
      <c r="A47" s="227"/>
      <c r="B47" s="228" t="s">
        <v>409</v>
      </c>
      <c r="C47" s="229">
        <f>+ยาเสพติด!C9</f>
        <v>8407500</v>
      </c>
      <c r="D47" s="229">
        <f>+ยาเสพติด!D9</f>
        <v>4203750</v>
      </c>
      <c r="E47" s="108">
        <f>+ยาเสพติด!E9</f>
        <v>0</v>
      </c>
      <c r="F47" s="108">
        <f t="shared" si="14"/>
        <v>0</v>
      </c>
      <c r="G47" s="108">
        <f>+ยาเสพติด!G9</f>
        <v>47306.5</v>
      </c>
      <c r="H47" s="108">
        <f t="shared" si="15"/>
        <v>1.1253404698186142</v>
      </c>
      <c r="I47" s="108">
        <f>+ยาเสพติด!I9</f>
        <v>0</v>
      </c>
      <c r="J47" s="108">
        <f t="shared" si="16"/>
        <v>0</v>
      </c>
      <c r="K47" s="108">
        <f>+ยาเสพติด!K9</f>
        <v>1342112</v>
      </c>
      <c r="L47" s="108">
        <f t="shared" si="17"/>
        <v>31.926541778174251</v>
      </c>
      <c r="M47" s="108">
        <f>+ยาเสพติด!M9</f>
        <v>1389418.5</v>
      </c>
      <c r="N47" s="108">
        <f t="shared" si="18"/>
        <v>33.051882247992864</v>
      </c>
      <c r="O47" s="108">
        <f>+ยาเสพติด!O9</f>
        <v>2814331.5</v>
      </c>
      <c r="P47" s="108">
        <f t="shared" si="19"/>
        <v>66.948117752007136</v>
      </c>
      <c r="Q47" s="108">
        <f>+ยาเสพติด!Q9</f>
        <v>7018081.5</v>
      </c>
      <c r="R47" s="108">
        <f t="shared" si="20"/>
        <v>83.474058876003568</v>
      </c>
      <c r="S47" s="238"/>
      <c r="T47" s="238"/>
    </row>
    <row r="48" spans="1:20" s="74" customFormat="1">
      <c r="A48" s="226">
        <v>12</v>
      </c>
      <c r="B48" s="62" t="s">
        <v>91</v>
      </c>
      <c r="C48" s="213">
        <f>+งบดำเนินงาน!C79</f>
        <v>7569850</v>
      </c>
      <c r="D48" s="213">
        <f>+งบดำเนินงาน!D79</f>
        <v>4106700</v>
      </c>
      <c r="E48" s="98">
        <f>+งบดำเนินงาน!E79</f>
        <v>0</v>
      </c>
      <c r="F48" s="98">
        <f t="shared" ref="F48:F53" si="21">+E48*100/$D48</f>
        <v>0</v>
      </c>
      <c r="G48" s="98">
        <f>+งบดำเนินงาน!G79</f>
        <v>0</v>
      </c>
      <c r="H48" s="98">
        <f t="shared" ref="H48:H53" si="22">+G48*100/$D48</f>
        <v>0</v>
      </c>
      <c r="I48" s="98">
        <f>+งบดำเนินงาน!I79</f>
        <v>1400</v>
      </c>
      <c r="J48" s="98">
        <f t="shared" ref="J48:J53" si="23">+I48*100/$D48</f>
        <v>3.4090632381230675E-2</v>
      </c>
      <c r="K48" s="98">
        <f>+งบดำเนินงาน!K79</f>
        <v>1308651.97</v>
      </c>
      <c r="L48" s="98">
        <f t="shared" ref="L48:L53" si="24">+K48*100/$D48</f>
        <v>31.866266588745223</v>
      </c>
      <c r="M48" s="98">
        <f>+งบดำเนินงาน!M79</f>
        <v>1310051.97</v>
      </c>
      <c r="N48" s="98">
        <f t="shared" ref="N48:N53" si="25">+M48*100/$D48</f>
        <v>31.900357221126452</v>
      </c>
      <c r="O48" s="98">
        <f>+งบดำเนินงาน!O79</f>
        <v>2796648.0300000003</v>
      </c>
      <c r="P48" s="98">
        <f t="shared" ref="P48:P53" si="26">+O48*100/$D48</f>
        <v>68.099642778873545</v>
      </c>
      <c r="Q48" s="98">
        <f>+งบดำเนินงาน!Q79</f>
        <v>6259798.0300000003</v>
      </c>
      <c r="R48" s="98">
        <f t="shared" ref="R48:R53" si="27">+Q48*100/C48</f>
        <v>82.693818635772175</v>
      </c>
      <c r="S48" s="238"/>
      <c r="T48" s="238"/>
    </row>
    <row r="49" spans="1:20" s="74" customFormat="1" hidden="1">
      <c r="A49" s="227"/>
      <c r="B49" s="228" t="s">
        <v>75</v>
      </c>
      <c r="C49" s="229">
        <f>+งบดำเนินงาน!C80</f>
        <v>7569850</v>
      </c>
      <c r="D49" s="229">
        <f>+งบดำเนินงาน!D80</f>
        <v>4106700</v>
      </c>
      <c r="E49" s="108">
        <f>+งบดำเนินงาน!E80</f>
        <v>0</v>
      </c>
      <c r="F49" s="108">
        <f t="shared" si="21"/>
        <v>0</v>
      </c>
      <c r="G49" s="108">
        <f>+งบดำเนินงาน!G80</f>
        <v>0</v>
      </c>
      <c r="H49" s="108">
        <f t="shared" si="22"/>
        <v>0</v>
      </c>
      <c r="I49" s="108">
        <f>+งบดำเนินงาน!I80</f>
        <v>1400</v>
      </c>
      <c r="J49" s="108">
        <f t="shared" si="23"/>
        <v>3.4090632381230675E-2</v>
      </c>
      <c r="K49" s="108">
        <f>+งบดำเนินงาน!K80</f>
        <v>1308651.97</v>
      </c>
      <c r="L49" s="108">
        <f t="shared" si="24"/>
        <v>31.866266588745223</v>
      </c>
      <c r="M49" s="108">
        <f>+งบดำเนินงาน!M80</f>
        <v>1310051.97</v>
      </c>
      <c r="N49" s="108">
        <f t="shared" si="25"/>
        <v>31.900357221126452</v>
      </c>
      <c r="O49" s="108">
        <f>+งบดำเนินงาน!O80</f>
        <v>2796648.0300000003</v>
      </c>
      <c r="P49" s="108">
        <f t="shared" si="26"/>
        <v>68.099642778873545</v>
      </c>
      <c r="Q49" s="108">
        <f>+งบดำเนินงาน!Q80</f>
        <v>6259798.0300000003</v>
      </c>
      <c r="R49" s="108">
        <f t="shared" si="27"/>
        <v>82.693818635772175</v>
      </c>
      <c r="S49" s="238"/>
      <c r="T49" s="238"/>
    </row>
    <row r="50" spans="1:20" s="74" customFormat="1" hidden="1">
      <c r="A50" s="227"/>
      <c r="B50" s="228" t="s">
        <v>76</v>
      </c>
      <c r="C50" s="229">
        <f>+งบดำเนินงาน!C81</f>
        <v>0</v>
      </c>
      <c r="D50" s="229">
        <f>+งบดำเนินงาน!D81</f>
        <v>0</v>
      </c>
      <c r="E50" s="108">
        <f>+งบดำเนินงาน!E81</f>
        <v>0</v>
      </c>
      <c r="F50" s="108" t="e">
        <f t="shared" si="21"/>
        <v>#DIV/0!</v>
      </c>
      <c r="G50" s="108">
        <f>+งบดำเนินงาน!G81</f>
        <v>0</v>
      </c>
      <c r="H50" s="108" t="e">
        <f t="shared" si="22"/>
        <v>#DIV/0!</v>
      </c>
      <c r="I50" s="108">
        <f>+งบดำเนินงาน!I81</f>
        <v>0</v>
      </c>
      <c r="J50" s="108" t="e">
        <f t="shared" si="23"/>
        <v>#DIV/0!</v>
      </c>
      <c r="K50" s="108">
        <f>+งบดำเนินงาน!K81</f>
        <v>0</v>
      </c>
      <c r="L50" s="108" t="e">
        <f t="shared" si="24"/>
        <v>#DIV/0!</v>
      </c>
      <c r="M50" s="108">
        <f>+งบดำเนินงาน!M81</f>
        <v>0</v>
      </c>
      <c r="N50" s="108" t="e">
        <f t="shared" si="25"/>
        <v>#DIV/0!</v>
      </c>
      <c r="O50" s="108">
        <f>+งบดำเนินงาน!O81</f>
        <v>0</v>
      </c>
      <c r="P50" s="108" t="e">
        <f t="shared" si="26"/>
        <v>#DIV/0!</v>
      </c>
      <c r="Q50" s="108">
        <f>+งบดำเนินงาน!Q81</f>
        <v>0</v>
      </c>
      <c r="R50" s="108" t="e">
        <f t="shared" si="27"/>
        <v>#DIV/0!</v>
      </c>
      <c r="S50" s="238"/>
      <c r="T50" s="238"/>
    </row>
    <row r="51" spans="1:20" s="74" customFormat="1">
      <c r="A51" s="226">
        <v>13</v>
      </c>
      <c r="B51" s="62" t="s">
        <v>78</v>
      </c>
      <c r="C51" s="213">
        <f>+งบดำเนินงาน!C82+งบดำเนินงาน!C14+งบดำเนินงาน!C143</f>
        <v>18329445</v>
      </c>
      <c r="D51" s="213">
        <f>+งบดำเนินงาน!D82+งบดำเนินงาน!D14+งบดำเนินงาน!D143</f>
        <v>9285665</v>
      </c>
      <c r="E51" s="98">
        <f>+งบดำเนินงาน!E82+งบดำเนินงาน!E14+งบดำเนินงาน!E143</f>
        <v>0</v>
      </c>
      <c r="F51" s="98">
        <f t="shared" si="21"/>
        <v>0</v>
      </c>
      <c r="G51" s="98">
        <f>+งบดำเนินงาน!G82+งบดำเนินงาน!G14+งบดำเนินงาน!G143</f>
        <v>65065</v>
      </c>
      <c r="H51" s="98">
        <f t="shared" si="22"/>
        <v>0.70070371911973994</v>
      </c>
      <c r="I51" s="98">
        <f>+งบดำเนินงาน!I82+งบดำเนินงาน!I14+งบดำเนินงาน!I143</f>
        <v>51386.29</v>
      </c>
      <c r="J51" s="98">
        <f t="shared" si="23"/>
        <v>0.55339375262837931</v>
      </c>
      <c r="K51" s="98">
        <f>+งบดำเนินงาน!K82+งบดำเนินงาน!K14+งบดำเนินงาน!K143</f>
        <v>1801685.07</v>
      </c>
      <c r="L51" s="98">
        <f t="shared" si="24"/>
        <v>19.402865276746468</v>
      </c>
      <c r="M51" s="98">
        <f>+งบดำเนินงาน!M82+งบดำเนินงาน!M14+งบดำเนินงาน!M143</f>
        <v>1918136.36</v>
      </c>
      <c r="N51" s="98">
        <f t="shared" si="25"/>
        <v>20.656962748494589</v>
      </c>
      <c r="O51" s="98">
        <f>+งบดำเนินงาน!O82+งบดำเนินงาน!O14+งบดำเนินงาน!O143</f>
        <v>7367528.6399999997</v>
      </c>
      <c r="P51" s="98">
        <f t="shared" si="26"/>
        <v>79.343037251505407</v>
      </c>
      <c r="Q51" s="98">
        <f>+งบดำเนินงาน!Q82+งบดำเนินงาน!Q14+งบดำเนินงาน!Q143</f>
        <v>16411308.640000001</v>
      </c>
      <c r="R51" s="98">
        <f t="shared" si="27"/>
        <v>89.535218551352756</v>
      </c>
      <c r="S51" s="238"/>
      <c r="T51" s="238"/>
    </row>
    <row r="52" spans="1:20" s="74" customFormat="1" hidden="1">
      <c r="A52" s="227"/>
      <c r="B52" s="228" t="s">
        <v>75</v>
      </c>
      <c r="C52" s="229">
        <f>+งบดำเนินงาน!C83+งบดำเนินงาน!C14+งบดำเนินงาน!C143</f>
        <v>18329445</v>
      </c>
      <c r="D52" s="229">
        <f>+งบดำเนินงาน!D83+งบดำเนินงาน!D14+งบดำเนินงาน!D143</f>
        <v>9285665</v>
      </c>
      <c r="E52" s="108">
        <f>+งบดำเนินงาน!E83+งบดำเนินงาน!E14+งบดำเนินงาน!E143</f>
        <v>0</v>
      </c>
      <c r="F52" s="108">
        <f t="shared" si="21"/>
        <v>0</v>
      </c>
      <c r="G52" s="108">
        <f>+งบดำเนินงาน!G83+งบดำเนินงาน!G14+งบดำเนินงาน!G143</f>
        <v>65065</v>
      </c>
      <c r="H52" s="108">
        <f t="shared" si="22"/>
        <v>0.70070371911973994</v>
      </c>
      <c r="I52" s="108">
        <f>+งบดำเนินงาน!I83+งบดำเนินงาน!I14+งบดำเนินงาน!I143</f>
        <v>51386.29</v>
      </c>
      <c r="J52" s="108">
        <f t="shared" si="23"/>
        <v>0.55339375262837931</v>
      </c>
      <c r="K52" s="108">
        <f>+งบดำเนินงาน!K83+งบดำเนินงาน!K14+งบดำเนินงาน!K143</f>
        <v>1801685.07</v>
      </c>
      <c r="L52" s="108">
        <f t="shared" si="24"/>
        <v>19.402865276746468</v>
      </c>
      <c r="M52" s="108">
        <f>+งบดำเนินงาน!M83+งบดำเนินงาน!M14+งบดำเนินงาน!M143</f>
        <v>1918136.36</v>
      </c>
      <c r="N52" s="108">
        <f t="shared" si="25"/>
        <v>20.656962748494589</v>
      </c>
      <c r="O52" s="108">
        <f>+งบดำเนินงาน!O83+งบดำเนินงาน!O14+งบดำเนินงาน!O143</f>
        <v>7367528.6399999997</v>
      </c>
      <c r="P52" s="108">
        <f t="shared" si="26"/>
        <v>79.343037251505407</v>
      </c>
      <c r="Q52" s="108">
        <f>+งบดำเนินงาน!Q83+งบดำเนินงาน!Q14+งบดำเนินงาน!Q143</f>
        <v>16411308.640000001</v>
      </c>
      <c r="R52" s="108">
        <f t="shared" si="27"/>
        <v>89.535218551352756</v>
      </c>
      <c r="S52" s="238"/>
      <c r="T52" s="238"/>
    </row>
    <row r="53" spans="1:20" s="74" customFormat="1" hidden="1">
      <c r="A53" s="227"/>
      <c r="B53" s="228" t="s">
        <v>76</v>
      </c>
      <c r="C53" s="229">
        <f>+งบดำเนินงาน!C84</f>
        <v>0</v>
      </c>
      <c r="D53" s="229">
        <f>+งบดำเนินงาน!D84</f>
        <v>0</v>
      </c>
      <c r="E53" s="108">
        <f>+งบดำเนินงาน!E84</f>
        <v>0</v>
      </c>
      <c r="F53" s="108" t="e">
        <f t="shared" si="21"/>
        <v>#DIV/0!</v>
      </c>
      <c r="G53" s="108">
        <f>+งบดำเนินงาน!G84</f>
        <v>0</v>
      </c>
      <c r="H53" s="108" t="e">
        <f t="shared" si="22"/>
        <v>#DIV/0!</v>
      </c>
      <c r="I53" s="108">
        <f>+งบดำเนินงาน!I84</f>
        <v>0</v>
      </c>
      <c r="J53" s="108" t="e">
        <f t="shared" si="23"/>
        <v>#DIV/0!</v>
      </c>
      <c r="K53" s="108">
        <f>+งบดำเนินงาน!K84</f>
        <v>0</v>
      </c>
      <c r="L53" s="108" t="e">
        <f t="shared" si="24"/>
        <v>#DIV/0!</v>
      </c>
      <c r="M53" s="108">
        <f>+งบดำเนินงาน!M84</f>
        <v>0</v>
      </c>
      <c r="N53" s="108" t="e">
        <f t="shared" si="25"/>
        <v>#DIV/0!</v>
      </c>
      <c r="O53" s="108">
        <f>+งบดำเนินงาน!O84</f>
        <v>0</v>
      </c>
      <c r="P53" s="108" t="e">
        <f t="shared" si="26"/>
        <v>#DIV/0!</v>
      </c>
      <c r="Q53" s="108">
        <f>+งบดำเนินงาน!Q84</f>
        <v>0</v>
      </c>
      <c r="R53" s="108" t="e">
        <f t="shared" si="27"/>
        <v>#DIV/0!</v>
      </c>
      <c r="S53" s="238"/>
      <c r="T53" s="238"/>
    </row>
    <row r="54" spans="1:20" s="74" customFormat="1">
      <c r="A54" s="226">
        <v>14</v>
      </c>
      <c r="B54" s="62" t="s">
        <v>82</v>
      </c>
      <c r="C54" s="213">
        <f>+งบดำเนินงาน!C73+งบดำเนินงาน!C19+งบดำเนินงาน!C142</f>
        <v>18895170</v>
      </c>
      <c r="D54" s="213">
        <f>+งบดำเนินงาน!D73+งบดำเนินงาน!D19+งบดำเนินงาน!D142</f>
        <v>10112620</v>
      </c>
      <c r="E54" s="98">
        <f>+งบดำเนินงาน!E73+งบดำเนินงาน!E19+งบดำเนินงาน!E142</f>
        <v>0</v>
      </c>
      <c r="F54" s="98">
        <f t="shared" si="14"/>
        <v>0</v>
      </c>
      <c r="G54" s="98">
        <f>+งบดำเนินงาน!G73+งบดำเนินงาน!G19+งบดำเนินงาน!G142</f>
        <v>9710</v>
      </c>
      <c r="H54" s="98">
        <f t="shared" si="15"/>
        <v>9.601863809774322E-2</v>
      </c>
      <c r="I54" s="98">
        <f>+งบดำเนินงาน!I73+งบดำเนินงาน!I19+งบดำเนินงาน!I142</f>
        <v>242366.34</v>
      </c>
      <c r="J54" s="98">
        <f t="shared" si="16"/>
        <v>2.3966720790457865</v>
      </c>
      <c r="K54" s="98">
        <f>+งบดำเนินงาน!K73+งบดำเนินงาน!K19+งบดำเนินงาน!K142</f>
        <v>1849251.48</v>
      </c>
      <c r="L54" s="98">
        <f t="shared" si="17"/>
        <v>18.286571432526884</v>
      </c>
      <c r="M54" s="98">
        <f>+งบดำเนินงาน!M73+งบดำเนินงาน!M19+งบดำเนินงาน!M142</f>
        <v>2101327.8200000003</v>
      </c>
      <c r="N54" s="98">
        <f t="shared" si="18"/>
        <v>20.779262149670416</v>
      </c>
      <c r="O54" s="98">
        <f>+งบดำเนินงาน!O73+งบดำเนินงาน!O19+งบดำเนินงาน!O142</f>
        <v>8011292.1799999997</v>
      </c>
      <c r="P54" s="98">
        <f t="shared" si="19"/>
        <v>79.220737850329584</v>
      </c>
      <c r="Q54" s="98">
        <f>+งบดำเนินงาน!Q73+งบดำเนินงาน!Q19+งบดำเนินงาน!Q142</f>
        <v>16793842.18</v>
      </c>
      <c r="R54" s="98">
        <f t="shared" si="20"/>
        <v>88.879021358368306</v>
      </c>
      <c r="S54" s="238"/>
      <c r="T54" s="238"/>
    </row>
    <row r="55" spans="1:20" s="74" customFormat="1" hidden="1">
      <c r="A55" s="227"/>
      <c r="B55" s="228" t="s">
        <v>75</v>
      </c>
      <c r="C55" s="229">
        <f>+งบดำเนินงาน!C74+งบดำเนินงาน!C19+งบดำเนินงาน!C142</f>
        <v>18895170</v>
      </c>
      <c r="D55" s="229">
        <f>+งบดำเนินงาน!D74+งบดำเนินงาน!D19+งบดำเนินงาน!D142</f>
        <v>10112620</v>
      </c>
      <c r="E55" s="108">
        <f>+งบดำเนินงาน!E74+งบดำเนินงาน!E19+งบดำเนินงาน!E142</f>
        <v>0</v>
      </c>
      <c r="F55" s="108">
        <f t="shared" si="14"/>
        <v>0</v>
      </c>
      <c r="G55" s="108">
        <f>+งบดำเนินงาน!G74+งบดำเนินงาน!G19+งบดำเนินงาน!G142</f>
        <v>9710</v>
      </c>
      <c r="H55" s="108">
        <f t="shared" si="15"/>
        <v>9.601863809774322E-2</v>
      </c>
      <c r="I55" s="108">
        <f>+งบดำเนินงาน!I74+งบดำเนินงาน!I19+งบดำเนินงาน!I142</f>
        <v>242366.34</v>
      </c>
      <c r="J55" s="108">
        <f t="shared" si="16"/>
        <v>2.3966720790457865</v>
      </c>
      <c r="K55" s="108">
        <f>+งบดำเนินงาน!K74+งบดำเนินงาน!K19+งบดำเนินงาน!K142</f>
        <v>1849251.48</v>
      </c>
      <c r="L55" s="108">
        <f t="shared" si="17"/>
        <v>18.286571432526884</v>
      </c>
      <c r="M55" s="108">
        <f>+งบดำเนินงาน!M74+งบดำเนินงาน!M19+งบดำเนินงาน!M142</f>
        <v>2101327.8200000003</v>
      </c>
      <c r="N55" s="108">
        <f t="shared" si="18"/>
        <v>20.779262149670416</v>
      </c>
      <c r="O55" s="108">
        <f>+งบดำเนินงาน!O74+งบดำเนินงาน!O19+งบดำเนินงาน!O142</f>
        <v>8011292.1799999997</v>
      </c>
      <c r="P55" s="108">
        <f t="shared" si="19"/>
        <v>79.220737850329584</v>
      </c>
      <c r="Q55" s="108">
        <f>+งบดำเนินงาน!Q74+งบดำเนินงาน!Q19+งบดำเนินงาน!Q142</f>
        <v>16793842.18</v>
      </c>
      <c r="R55" s="108">
        <f t="shared" si="20"/>
        <v>88.879021358368306</v>
      </c>
      <c r="S55" s="238"/>
      <c r="T55" s="238"/>
    </row>
    <row r="56" spans="1:20" s="74" customFormat="1" hidden="1">
      <c r="A56" s="227"/>
      <c r="B56" s="228" t="s">
        <v>76</v>
      </c>
      <c r="C56" s="229">
        <f>+งบดำเนินงาน!C75</f>
        <v>0</v>
      </c>
      <c r="D56" s="229">
        <f>+งบดำเนินงาน!D75</f>
        <v>0</v>
      </c>
      <c r="E56" s="108">
        <f>+งบดำเนินงาน!E75</f>
        <v>0</v>
      </c>
      <c r="F56" s="108" t="e">
        <f t="shared" si="14"/>
        <v>#DIV/0!</v>
      </c>
      <c r="G56" s="108">
        <f>+งบดำเนินงาน!G75</f>
        <v>0</v>
      </c>
      <c r="H56" s="108" t="e">
        <f t="shared" si="15"/>
        <v>#DIV/0!</v>
      </c>
      <c r="I56" s="108">
        <f>+งบดำเนินงาน!I75</f>
        <v>0</v>
      </c>
      <c r="J56" s="108" t="e">
        <f t="shared" si="16"/>
        <v>#DIV/0!</v>
      </c>
      <c r="K56" s="108">
        <f>+งบดำเนินงาน!K75</f>
        <v>0</v>
      </c>
      <c r="L56" s="108" t="e">
        <f t="shared" si="17"/>
        <v>#DIV/0!</v>
      </c>
      <c r="M56" s="108">
        <f>+งบดำเนินงาน!M75</f>
        <v>0</v>
      </c>
      <c r="N56" s="108" t="e">
        <f t="shared" si="18"/>
        <v>#DIV/0!</v>
      </c>
      <c r="O56" s="108">
        <f>+งบดำเนินงาน!O75</f>
        <v>0</v>
      </c>
      <c r="P56" s="108" t="e">
        <f t="shared" si="19"/>
        <v>#DIV/0!</v>
      </c>
      <c r="Q56" s="108">
        <f>+งบดำเนินงาน!Q75</f>
        <v>0</v>
      </c>
      <c r="R56" s="108" t="e">
        <f t="shared" si="20"/>
        <v>#DIV/0!</v>
      </c>
      <c r="S56" s="238"/>
      <c r="T56" s="238"/>
    </row>
    <row r="57" spans="1:20" s="74" customFormat="1">
      <c r="A57" s="226">
        <v>15</v>
      </c>
      <c r="B57" s="62" t="s">
        <v>85</v>
      </c>
      <c r="C57" s="213">
        <f>+งบดำเนินงาน!C58+งบดำเนินงาน!C17+งบดำเนินงาน!C140+ยาเสพติด!C8</f>
        <v>49665516</v>
      </c>
      <c r="D57" s="213">
        <f>+งบดำเนินงาน!D58+งบดำเนินงาน!D17+งบดำเนินงาน!D140+ยาเสพติด!D8</f>
        <v>23595216</v>
      </c>
      <c r="E57" s="98">
        <f>+งบดำเนินงาน!E58+งบดำเนินงาน!E17+งบดำเนินงาน!E140+ยาเสพติด!E8</f>
        <v>0</v>
      </c>
      <c r="F57" s="98">
        <f t="shared" ref="F57:F66" si="28">+E57*100/$D57</f>
        <v>0</v>
      </c>
      <c r="G57" s="98">
        <f>+งบดำเนินงาน!G58+งบดำเนินงาน!G17+งบดำเนินงาน!G140+ยาเสพติด!G8</f>
        <v>92750</v>
      </c>
      <c r="H57" s="98">
        <f t="shared" ref="H57:H66" si="29">+G57*100/$D57</f>
        <v>0.39308815820969811</v>
      </c>
      <c r="I57" s="98">
        <f>+งบดำเนินงาน!I58+งบดำเนินงาน!I17+งบดำเนินงาน!I140+ยาเสพติด!I8</f>
        <v>142508.38</v>
      </c>
      <c r="J57" s="98">
        <f t="shared" ref="J57:J66" si="30">+I57*100/$D57</f>
        <v>0.60397149998542077</v>
      </c>
      <c r="K57" s="98">
        <f>+งบดำเนินงาน!K58+งบดำเนินงาน!K17+งบดำเนินงาน!K140+ยาเสพติด!K8</f>
        <v>4099483.4199999995</v>
      </c>
      <c r="L57" s="98">
        <f t="shared" ref="L57:L66" si="31">+K57*100/$D57</f>
        <v>17.374214417024195</v>
      </c>
      <c r="M57" s="98">
        <f>+งบดำเนินงาน!M58+งบดำเนินงาน!M17+งบดำเนินงาน!M140+ยาเสพติด!M8</f>
        <v>4334741.8</v>
      </c>
      <c r="N57" s="98">
        <f t="shared" ref="N57:N66" si="32">+M57*100/$D57</f>
        <v>18.371274075219315</v>
      </c>
      <c r="O57" s="98">
        <f>+งบดำเนินงาน!O58+งบดำเนินงาน!O17+งบดำเนินงาน!O140+ยาเสพติด!O8</f>
        <v>19260474.199999999</v>
      </c>
      <c r="P57" s="98">
        <f t="shared" ref="P57:P66" si="33">+O57*100/$D57</f>
        <v>81.628725924780682</v>
      </c>
      <c r="Q57" s="98">
        <f>+งบดำเนินงาน!Q58+งบดำเนินงาน!Q17+งบดำเนินงาน!Q140+ยาเสพติด!Q8</f>
        <v>45330774.200000003</v>
      </c>
      <c r="R57" s="98">
        <f t="shared" ref="R57:R66" si="34">+Q57*100/C57</f>
        <v>91.272129740885006</v>
      </c>
      <c r="S57" s="238"/>
      <c r="T57" s="238"/>
    </row>
    <row r="58" spans="1:20" s="74" customFormat="1">
      <c r="A58" s="227"/>
      <c r="B58" s="228" t="s">
        <v>408</v>
      </c>
      <c r="C58" s="229">
        <f>+งบดำเนินงาน!C59+งบดำเนินงาน!C17+งบดำเนินงาน!C140</f>
        <v>39489880</v>
      </c>
      <c r="D58" s="229">
        <f>+งบดำเนินงาน!D59+งบดำเนินงาน!D17+งบดำเนินงาน!D140</f>
        <v>19565830</v>
      </c>
      <c r="E58" s="108">
        <f>+งบดำเนินงาน!E59+งบดำเนินงาน!E17+งบดำเนินงาน!E140</f>
        <v>0</v>
      </c>
      <c r="F58" s="108">
        <f t="shared" si="28"/>
        <v>0</v>
      </c>
      <c r="G58" s="108">
        <f>+งบดำเนินงาน!G59+งบดำเนินงาน!G17+งบดำเนินงาน!G140</f>
        <v>92750</v>
      </c>
      <c r="H58" s="108">
        <f t="shared" si="29"/>
        <v>0.47404071281412546</v>
      </c>
      <c r="I58" s="108">
        <f>+งบดำเนินงาน!I59+งบดำเนินงาน!I17+งบดำเนินงาน!I140</f>
        <v>142508.38</v>
      </c>
      <c r="J58" s="108">
        <f t="shared" si="30"/>
        <v>0.72835335889149599</v>
      </c>
      <c r="K58" s="108">
        <f>+งบดำเนินงาน!K59+งบดำเนินงาน!K17+งบดำเนินงาน!K140</f>
        <v>2469643.4199999995</v>
      </c>
      <c r="L58" s="108">
        <f t="shared" si="31"/>
        <v>12.622226708501502</v>
      </c>
      <c r="M58" s="108">
        <f>+งบดำเนินงาน!M59+งบดำเนินงาน!M17+งบดำเนินงาน!M140</f>
        <v>2704901.8</v>
      </c>
      <c r="N58" s="108">
        <f t="shared" si="32"/>
        <v>13.824620780207127</v>
      </c>
      <c r="O58" s="108">
        <f>+งบดำเนินงาน!O59+งบดำเนินงาน!O17+งบดำเนินงาน!O140</f>
        <v>16860928.199999999</v>
      </c>
      <c r="P58" s="108">
        <f t="shared" si="33"/>
        <v>86.175379219792873</v>
      </c>
      <c r="Q58" s="108">
        <f>+งบดำเนินงาน!Q59+งบดำเนินงาน!Q17+งบดำเนินงาน!Q140</f>
        <v>36784978.200000003</v>
      </c>
      <c r="R58" s="108">
        <f t="shared" si="34"/>
        <v>93.150392454978345</v>
      </c>
      <c r="S58" s="238"/>
      <c r="T58" s="238"/>
    </row>
    <row r="59" spans="1:20" s="74" customFormat="1" hidden="1">
      <c r="A59" s="227"/>
      <c r="B59" s="228" t="s">
        <v>76</v>
      </c>
      <c r="C59" s="229">
        <f>+งบดำเนินงาน!C60</f>
        <v>0</v>
      </c>
      <c r="D59" s="229">
        <f>+งบดำเนินงาน!D60</f>
        <v>0</v>
      </c>
      <c r="E59" s="108">
        <f>+งบดำเนินงาน!E60</f>
        <v>0</v>
      </c>
      <c r="F59" s="108" t="e">
        <f t="shared" si="28"/>
        <v>#DIV/0!</v>
      </c>
      <c r="G59" s="108">
        <f>+งบดำเนินงาน!G60</f>
        <v>0</v>
      </c>
      <c r="H59" s="108" t="e">
        <f t="shared" si="29"/>
        <v>#DIV/0!</v>
      </c>
      <c r="I59" s="108">
        <f>+งบดำเนินงาน!I60</f>
        <v>0</v>
      </c>
      <c r="J59" s="108" t="e">
        <f t="shared" si="30"/>
        <v>#DIV/0!</v>
      </c>
      <c r="K59" s="108">
        <f>+งบดำเนินงาน!K60</f>
        <v>0</v>
      </c>
      <c r="L59" s="108" t="e">
        <f t="shared" si="31"/>
        <v>#DIV/0!</v>
      </c>
      <c r="M59" s="108">
        <f>+งบดำเนินงาน!M60</f>
        <v>0</v>
      </c>
      <c r="N59" s="108" t="e">
        <f t="shared" si="32"/>
        <v>#DIV/0!</v>
      </c>
      <c r="O59" s="108">
        <f>+งบดำเนินงาน!O60</f>
        <v>0</v>
      </c>
      <c r="P59" s="108" t="e">
        <f t="shared" si="33"/>
        <v>#DIV/0!</v>
      </c>
      <c r="Q59" s="108">
        <f>+งบดำเนินงาน!Q60</f>
        <v>0</v>
      </c>
      <c r="R59" s="108" t="e">
        <f t="shared" si="34"/>
        <v>#DIV/0!</v>
      </c>
      <c r="S59" s="238"/>
      <c r="T59" s="238"/>
    </row>
    <row r="60" spans="1:20" s="74" customFormat="1">
      <c r="A60" s="227"/>
      <c r="B60" s="228" t="s">
        <v>409</v>
      </c>
      <c r="C60" s="229">
        <f>+ยาเสพติด!C8</f>
        <v>10175636</v>
      </c>
      <c r="D60" s="229">
        <f>+ยาเสพติด!D8</f>
        <v>4029386</v>
      </c>
      <c r="E60" s="108">
        <f>+ยาเสพติด!E8</f>
        <v>0</v>
      </c>
      <c r="F60" s="108">
        <f t="shared" si="28"/>
        <v>0</v>
      </c>
      <c r="G60" s="108">
        <f>+ยาเสพติด!G8</f>
        <v>0</v>
      </c>
      <c r="H60" s="108">
        <f t="shared" si="29"/>
        <v>0</v>
      </c>
      <c r="I60" s="108">
        <f>+ยาเสพติด!I8</f>
        <v>0</v>
      </c>
      <c r="J60" s="108">
        <f t="shared" si="30"/>
        <v>0</v>
      </c>
      <c r="K60" s="108">
        <f>+ยาเสพติด!K8</f>
        <v>1629840</v>
      </c>
      <c r="L60" s="108">
        <f t="shared" si="31"/>
        <v>40.448842578000715</v>
      </c>
      <c r="M60" s="108">
        <f>+ยาเสพติด!M8</f>
        <v>1629840</v>
      </c>
      <c r="N60" s="108">
        <f t="shared" si="32"/>
        <v>40.448842578000715</v>
      </c>
      <c r="O60" s="108">
        <f>+ยาเสพติด!O8</f>
        <v>2399546</v>
      </c>
      <c r="P60" s="108">
        <f t="shared" si="33"/>
        <v>59.551157421999285</v>
      </c>
      <c r="Q60" s="108">
        <f>+ยาเสพติด!Q8</f>
        <v>8545796</v>
      </c>
      <c r="R60" s="108">
        <f t="shared" si="34"/>
        <v>83.982917627949746</v>
      </c>
      <c r="S60" s="238"/>
      <c r="T60" s="238"/>
    </row>
    <row r="61" spans="1:20" s="299" customFormat="1">
      <c r="A61" s="300">
        <v>16</v>
      </c>
      <c r="B61" s="62" t="s">
        <v>98</v>
      </c>
      <c r="C61" s="301">
        <f>+งบดำเนินงาน!C133</f>
        <v>14024030</v>
      </c>
      <c r="D61" s="301">
        <f>+งบดำเนินงาน!D133</f>
        <v>7012015</v>
      </c>
      <c r="E61" s="98">
        <f>+งบดำเนินงาน!E133</f>
        <v>0</v>
      </c>
      <c r="F61" s="98">
        <f t="shared" si="28"/>
        <v>0</v>
      </c>
      <c r="G61" s="98">
        <f>+งบดำเนินงาน!G133</f>
        <v>509729.58999999997</v>
      </c>
      <c r="H61" s="98">
        <f t="shared" si="29"/>
        <v>7.2693739246136806</v>
      </c>
      <c r="I61" s="98">
        <f>+งบดำเนินงาน!I133</f>
        <v>85600</v>
      </c>
      <c r="J61" s="98">
        <f t="shared" si="30"/>
        <v>1.2207617924376943</v>
      </c>
      <c r="K61" s="98">
        <f>+งบดำเนินงาน!K133</f>
        <v>1209932.1500000001</v>
      </c>
      <c r="L61" s="98">
        <f t="shared" si="31"/>
        <v>17.255127805630767</v>
      </c>
      <c r="M61" s="98">
        <f>+งบดำเนินงาน!M133</f>
        <v>1805261.7400000002</v>
      </c>
      <c r="N61" s="98">
        <f t="shared" si="32"/>
        <v>25.745263522682144</v>
      </c>
      <c r="O61" s="98">
        <f>+งบดำเนินงาน!O133</f>
        <v>5206753.26</v>
      </c>
      <c r="P61" s="98">
        <f t="shared" si="33"/>
        <v>74.254736477317863</v>
      </c>
      <c r="Q61" s="98">
        <f>+งบดำเนินงาน!Q133</f>
        <v>12218768.26</v>
      </c>
      <c r="R61" s="98">
        <f t="shared" si="34"/>
        <v>87.127368238658931</v>
      </c>
      <c r="S61" s="238"/>
      <c r="T61" s="238"/>
    </row>
    <row r="62" spans="1:20" s="74" customFormat="1" hidden="1">
      <c r="A62" s="227"/>
      <c r="B62" s="230" t="s">
        <v>75</v>
      </c>
      <c r="C62" s="229">
        <f>+งบดำเนินงาน!C134</f>
        <v>14024030</v>
      </c>
      <c r="D62" s="229">
        <f>+งบดำเนินงาน!D134</f>
        <v>7012015</v>
      </c>
      <c r="E62" s="108">
        <f>+งบดำเนินงาน!E134</f>
        <v>0</v>
      </c>
      <c r="F62" s="108">
        <f t="shared" si="28"/>
        <v>0</v>
      </c>
      <c r="G62" s="108">
        <f>+งบดำเนินงาน!G134</f>
        <v>509729.58999999997</v>
      </c>
      <c r="H62" s="108">
        <f t="shared" si="29"/>
        <v>7.2693739246136806</v>
      </c>
      <c r="I62" s="108">
        <f>+งบดำเนินงาน!I134</f>
        <v>85600</v>
      </c>
      <c r="J62" s="108">
        <f t="shared" si="30"/>
        <v>1.2207617924376943</v>
      </c>
      <c r="K62" s="108">
        <f>+งบดำเนินงาน!K134</f>
        <v>1209932.1500000001</v>
      </c>
      <c r="L62" s="108">
        <f t="shared" si="31"/>
        <v>17.255127805630767</v>
      </c>
      <c r="M62" s="108">
        <f>+งบดำเนินงาน!M134</f>
        <v>1805261.7400000002</v>
      </c>
      <c r="N62" s="108">
        <f t="shared" si="32"/>
        <v>25.745263522682144</v>
      </c>
      <c r="O62" s="108">
        <f>+งบดำเนินงาน!O134</f>
        <v>5206753.26</v>
      </c>
      <c r="P62" s="108">
        <f t="shared" si="33"/>
        <v>74.254736477317863</v>
      </c>
      <c r="Q62" s="108">
        <f>+งบดำเนินงาน!Q134</f>
        <v>12218768.26</v>
      </c>
      <c r="R62" s="108">
        <f t="shared" si="34"/>
        <v>87.127368238658931</v>
      </c>
      <c r="S62" s="238"/>
      <c r="T62" s="238"/>
    </row>
    <row r="63" spans="1:20" s="74" customFormat="1" hidden="1">
      <c r="A63" s="227"/>
      <c r="B63" s="230" t="s">
        <v>76</v>
      </c>
      <c r="C63" s="229">
        <f>+งบดำเนินงาน!C135</f>
        <v>0</v>
      </c>
      <c r="D63" s="229">
        <f>+งบดำเนินงาน!D135</f>
        <v>0</v>
      </c>
      <c r="E63" s="108">
        <f>+งบดำเนินงาน!E135</f>
        <v>0</v>
      </c>
      <c r="F63" s="108" t="e">
        <f t="shared" si="28"/>
        <v>#DIV/0!</v>
      </c>
      <c r="G63" s="108">
        <f>+งบดำเนินงาน!G135</f>
        <v>0</v>
      </c>
      <c r="H63" s="108" t="e">
        <f t="shared" si="29"/>
        <v>#DIV/0!</v>
      </c>
      <c r="I63" s="108">
        <f>+งบดำเนินงาน!I135</f>
        <v>0</v>
      </c>
      <c r="J63" s="108" t="e">
        <f t="shared" si="30"/>
        <v>#DIV/0!</v>
      </c>
      <c r="K63" s="108">
        <f>+งบดำเนินงาน!K135</f>
        <v>0</v>
      </c>
      <c r="L63" s="108" t="e">
        <f t="shared" si="31"/>
        <v>#DIV/0!</v>
      </c>
      <c r="M63" s="108">
        <f>+งบดำเนินงาน!M135</f>
        <v>0</v>
      </c>
      <c r="N63" s="108" t="e">
        <f t="shared" si="32"/>
        <v>#DIV/0!</v>
      </c>
      <c r="O63" s="108">
        <f>+งบดำเนินงาน!O135</f>
        <v>0</v>
      </c>
      <c r="P63" s="108" t="e">
        <f t="shared" si="33"/>
        <v>#DIV/0!</v>
      </c>
      <c r="Q63" s="108">
        <f>+งบดำเนินงาน!Q135</f>
        <v>0</v>
      </c>
      <c r="R63" s="108" t="e">
        <f t="shared" si="34"/>
        <v>#DIV/0!</v>
      </c>
      <c r="S63" s="238"/>
      <c r="T63" s="238"/>
    </row>
    <row r="64" spans="1:20" s="74" customFormat="1">
      <c r="A64" s="226">
        <v>17</v>
      </c>
      <c r="B64" s="62" t="s">
        <v>86</v>
      </c>
      <c r="C64" s="213">
        <f>+งบดำเนินงาน!C85</f>
        <v>7070230</v>
      </c>
      <c r="D64" s="213">
        <f>+งบดำเนินงาน!D85</f>
        <v>3588080</v>
      </c>
      <c r="E64" s="98">
        <f>+งบดำเนินงาน!E85</f>
        <v>0</v>
      </c>
      <c r="F64" s="98">
        <f t="shared" si="28"/>
        <v>0</v>
      </c>
      <c r="G64" s="98">
        <f>+งบดำเนินงาน!G85</f>
        <v>152426</v>
      </c>
      <c r="H64" s="98">
        <f t="shared" si="29"/>
        <v>4.2481215580477585</v>
      </c>
      <c r="I64" s="98">
        <f>+งบดำเนินงาน!I85</f>
        <v>61000</v>
      </c>
      <c r="J64" s="98">
        <f t="shared" si="30"/>
        <v>1.7000735769548059</v>
      </c>
      <c r="K64" s="98">
        <f>+งบดำเนินงาน!K85</f>
        <v>559807.55000000005</v>
      </c>
      <c r="L64" s="98">
        <f t="shared" si="31"/>
        <v>15.601869244832892</v>
      </c>
      <c r="M64" s="98">
        <f>+งบดำเนินงาน!M85</f>
        <v>773233.55</v>
      </c>
      <c r="N64" s="98">
        <f t="shared" si="32"/>
        <v>21.550064379835455</v>
      </c>
      <c r="O64" s="98">
        <f>+งบดำเนินงาน!O85</f>
        <v>2814846.45</v>
      </c>
      <c r="P64" s="98">
        <f t="shared" si="33"/>
        <v>78.449935620164538</v>
      </c>
      <c r="Q64" s="98">
        <f>+งบดำเนินงาน!Q85</f>
        <v>6296996.4500000002</v>
      </c>
      <c r="R64" s="98">
        <f t="shared" si="34"/>
        <v>89.063530465062669</v>
      </c>
      <c r="S64" s="238"/>
      <c r="T64" s="238"/>
    </row>
    <row r="65" spans="1:20" s="74" customFormat="1" hidden="1">
      <c r="A65" s="227"/>
      <c r="B65" s="228" t="s">
        <v>75</v>
      </c>
      <c r="C65" s="229">
        <f>+งบดำเนินงาน!C86</f>
        <v>7070230</v>
      </c>
      <c r="D65" s="229">
        <f>+งบดำเนินงาน!D86</f>
        <v>3588080</v>
      </c>
      <c r="E65" s="108">
        <f>+งบดำเนินงาน!E86</f>
        <v>0</v>
      </c>
      <c r="F65" s="108">
        <f t="shared" si="28"/>
        <v>0</v>
      </c>
      <c r="G65" s="108">
        <f>+งบดำเนินงาน!G86</f>
        <v>152426</v>
      </c>
      <c r="H65" s="108">
        <f t="shared" si="29"/>
        <v>4.2481215580477585</v>
      </c>
      <c r="I65" s="108">
        <f>+งบดำเนินงาน!I86</f>
        <v>61000</v>
      </c>
      <c r="J65" s="108">
        <f t="shared" si="30"/>
        <v>1.7000735769548059</v>
      </c>
      <c r="K65" s="108">
        <f>+งบดำเนินงาน!K86</f>
        <v>559807.55000000005</v>
      </c>
      <c r="L65" s="108">
        <f t="shared" si="31"/>
        <v>15.601869244832892</v>
      </c>
      <c r="M65" s="108">
        <f>+งบดำเนินงาน!M86</f>
        <v>773233.55</v>
      </c>
      <c r="N65" s="108">
        <f t="shared" si="32"/>
        <v>21.550064379835455</v>
      </c>
      <c r="O65" s="108">
        <f>+งบดำเนินงาน!O86</f>
        <v>2814846.45</v>
      </c>
      <c r="P65" s="108">
        <f t="shared" si="33"/>
        <v>78.449935620164538</v>
      </c>
      <c r="Q65" s="108">
        <f>+งบดำเนินงาน!Q86</f>
        <v>6296996.4500000002</v>
      </c>
      <c r="R65" s="108">
        <f t="shared" si="34"/>
        <v>89.063530465062669</v>
      </c>
      <c r="S65" s="238"/>
      <c r="T65" s="238"/>
    </row>
    <row r="66" spans="1:20" s="74" customFormat="1" hidden="1">
      <c r="A66" s="227"/>
      <c r="B66" s="228" t="s">
        <v>76</v>
      </c>
      <c r="C66" s="229">
        <f>+งบดำเนินงาน!C87</f>
        <v>0</v>
      </c>
      <c r="D66" s="229">
        <f>+งบดำเนินงาน!D87</f>
        <v>0</v>
      </c>
      <c r="E66" s="108">
        <f>+งบดำเนินงาน!E87</f>
        <v>0</v>
      </c>
      <c r="F66" s="108" t="e">
        <f t="shared" si="28"/>
        <v>#DIV/0!</v>
      </c>
      <c r="G66" s="108">
        <f>+งบดำเนินงาน!G87</f>
        <v>0</v>
      </c>
      <c r="H66" s="108" t="e">
        <f t="shared" si="29"/>
        <v>#DIV/0!</v>
      </c>
      <c r="I66" s="108">
        <f>+งบดำเนินงาน!I87</f>
        <v>0</v>
      </c>
      <c r="J66" s="108" t="e">
        <f t="shared" si="30"/>
        <v>#DIV/0!</v>
      </c>
      <c r="K66" s="108">
        <f>+งบดำเนินงาน!K87</f>
        <v>0</v>
      </c>
      <c r="L66" s="108" t="e">
        <f t="shared" si="31"/>
        <v>#DIV/0!</v>
      </c>
      <c r="M66" s="108">
        <f>+งบดำเนินงาน!M87</f>
        <v>0</v>
      </c>
      <c r="N66" s="108" t="e">
        <f t="shared" si="32"/>
        <v>#DIV/0!</v>
      </c>
      <c r="O66" s="108">
        <f>+งบดำเนินงาน!O87</f>
        <v>0</v>
      </c>
      <c r="P66" s="108" t="e">
        <f t="shared" si="33"/>
        <v>#DIV/0!</v>
      </c>
      <c r="Q66" s="108">
        <f>+งบดำเนินงาน!Q87</f>
        <v>0</v>
      </c>
      <c r="R66" s="108" t="e">
        <f t="shared" si="34"/>
        <v>#DIV/0!</v>
      </c>
      <c r="S66" s="238"/>
      <c r="T66" s="238"/>
    </row>
    <row r="67" spans="1:20" s="74" customFormat="1">
      <c r="A67" s="226">
        <v>18</v>
      </c>
      <c r="B67" s="62" t="s">
        <v>89</v>
      </c>
      <c r="C67" s="213">
        <f>+งบดำเนินงาน!C88+งบดำเนินงาน!C24</f>
        <v>7812090</v>
      </c>
      <c r="D67" s="213">
        <f>+งบดำเนินงาน!D88+งบดำเนินงาน!D24</f>
        <v>3824690</v>
      </c>
      <c r="E67" s="98">
        <f>+งบดำเนินงาน!E88+งบดำเนินงาน!E24</f>
        <v>0</v>
      </c>
      <c r="F67" s="98">
        <f t="shared" ref="F67:F69" si="35">+E67*100/$D67</f>
        <v>0</v>
      </c>
      <c r="G67" s="98">
        <f>+งบดำเนินงาน!G88+งบดำเนินงาน!G24</f>
        <v>350</v>
      </c>
      <c r="H67" s="98">
        <f t="shared" ref="H67:H69" si="36">+G67*100/$D67</f>
        <v>9.1510684526066172E-3</v>
      </c>
      <c r="I67" s="98">
        <f>+งบดำเนินงาน!I88+งบดำเนินงาน!I24</f>
        <v>5470</v>
      </c>
      <c r="J67" s="98">
        <f t="shared" ref="J67:J69" si="37">+I67*100/$D67</f>
        <v>0.14301812695930913</v>
      </c>
      <c r="K67" s="98">
        <f>+งบดำเนินงาน!K88+งบดำเนินงาน!K24</f>
        <v>551083.68999999994</v>
      </c>
      <c r="L67" s="98">
        <f t="shared" ref="L67:L69" si="38">+K67*100/$D67</f>
        <v>14.408584486585839</v>
      </c>
      <c r="M67" s="98">
        <f>+งบดำเนินงาน!M88+งบดำเนินงาน!M24</f>
        <v>556903.68999999994</v>
      </c>
      <c r="N67" s="98">
        <f t="shared" ref="N67:N69" si="39">+M67*100/$D67</f>
        <v>14.560753681997754</v>
      </c>
      <c r="O67" s="98">
        <f>+งบดำเนินงาน!O88+งบดำเนินงาน!O24</f>
        <v>3267786.31</v>
      </c>
      <c r="P67" s="98">
        <f t="shared" ref="P67:P69" si="40">+O67*100/$D67</f>
        <v>85.439246318002247</v>
      </c>
      <c r="Q67" s="98">
        <f>+งบดำเนินงาน!Q88+งบดำเนินงาน!Q24</f>
        <v>7255186.3100000005</v>
      </c>
      <c r="R67" s="98">
        <f t="shared" ref="R67:R69" si="41">+Q67*100/C67</f>
        <v>92.871258651654045</v>
      </c>
      <c r="S67" s="238"/>
      <c r="T67" s="238"/>
    </row>
    <row r="68" spans="1:20" s="74" customFormat="1" hidden="1">
      <c r="A68" s="227"/>
      <c r="B68" s="228" t="s">
        <v>75</v>
      </c>
      <c r="C68" s="229">
        <f>+งบดำเนินงาน!C89+งบดำเนินงาน!C24</f>
        <v>7812090</v>
      </c>
      <c r="D68" s="229">
        <f>+งบดำเนินงาน!D89+งบดำเนินงาน!D24</f>
        <v>3824690</v>
      </c>
      <c r="E68" s="108">
        <f>+งบดำเนินงาน!E89+งบดำเนินงาน!E24</f>
        <v>0</v>
      </c>
      <c r="F68" s="108">
        <f t="shared" si="35"/>
        <v>0</v>
      </c>
      <c r="G68" s="108">
        <f>+งบดำเนินงาน!G89+งบดำเนินงาน!G24</f>
        <v>350</v>
      </c>
      <c r="H68" s="108">
        <f t="shared" si="36"/>
        <v>9.1510684526066172E-3</v>
      </c>
      <c r="I68" s="108">
        <f>+งบดำเนินงาน!I89+งบดำเนินงาน!I24</f>
        <v>5470</v>
      </c>
      <c r="J68" s="108">
        <f t="shared" si="37"/>
        <v>0.14301812695930913</v>
      </c>
      <c r="K68" s="108">
        <f>+งบดำเนินงาน!K89+งบดำเนินงาน!K24</f>
        <v>551083.68999999994</v>
      </c>
      <c r="L68" s="108">
        <f t="shared" si="38"/>
        <v>14.408584486585839</v>
      </c>
      <c r="M68" s="108">
        <f>+งบดำเนินงาน!M89+งบดำเนินงาน!M24</f>
        <v>556903.68999999994</v>
      </c>
      <c r="N68" s="108">
        <f t="shared" si="39"/>
        <v>14.560753681997754</v>
      </c>
      <c r="O68" s="108">
        <f>+งบดำเนินงาน!O89+งบดำเนินงาน!O24</f>
        <v>3267786.31</v>
      </c>
      <c r="P68" s="108">
        <f t="shared" si="40"/>
        <v>85.439246318002247</v>
      </c>
      <c r="Q68" s="108">
        <f>+งบดำเนินงาน!Q89+งบดำเนินงาน!Q24</f>
        <v>7255186.3100000005</v>
      </c>
      <c r="R68" s="108">
        <f t="shared" si="41"/>
        <v>92.871258651654045</v>
      </c>
      <c r="S68" s="238"/>
      <c r="T68" s="238"/>
    </row>
    <row r="69" spans="1:20" s="74" customFormat="1" hidden="1">
      <c r="A69" s="227"/>
      <c r="B69" s="228" t="s">
        <v>76</v>
      </c>
      <c r="C69" s="229">
        <f>+งบดำเนินงาน!C90</f>
        <v>0</v>
      </c>
      <c r="D69" s="229">
        <f>+งบดำเนินงาน!D90</f>
        <v>0</v>
      </c>
      <c r="E69" s="108">
        <f>+งบดำเนินงาน!E90</f>
        <v>0</v>
      </c>
      <c r="F69" s="108" t="e">
        <f t="shared" si="35"/>
        <v>#DIV/0!</v>
      </c>
      <c r="G69" s="108">
        <f>+งบดำเนินงาน!G90</f>
        <v>0</v>
      </c>
      <c r="H69" s="108" t="e">
        <f t="shared" si="36"/>
        <v>#DIV/0!</v>
      </c>
      <c r="I69" s="108">
        <f>+งบดำเนินงาน!I90</f>
        <v>0</v>
      </c>
      <c r="J69" s="108" t="e">
        <f t="shared" si="37"/>
        <v>#DIV/0!</v>
      </c>
      <c r="K69" s="108">
        <f>+งบดำเนินงาน!K90</f>
        <v>0</v>
      </c>
      <c r="L69" s="108" t="e">
        <f t="shared" si="38"/>
        <v>#DIV/0!</v>
      </c>
      <c r="M69" s="108">
        <f>+งบดำเนินงาน!M90</f>
        <v>0</v>
      </c>
      <c r="N69" s="108" t="e">
        <f t="shared" si="39"/>
        <v>#DIV/0!</v>
      </c>
      <c r="O69" s="108">
        <f>+งบดำเนินงาน!O90</f>
        <v>0</v>
      </c>
      <c r="P69" s="108" t="e">
        <f t="shared" si="40"/>
        <v>#DIV/0!</v>
      </c>
      <c r="Q69" s="108">
        <f>+งบดำเนินงาน!Q90</f>
        <v>0</v>
      </c>
      <c r="R69" s="108" t="e">
        <f t="shared" si="41"/>
        <v>#DIV/0!</v>
      </c>
      <c r="S69" s="238"/>
      <c r="T69" s="238"/>
    </row>
    <row r="70" spans="1:20" s="74" customFormat="1">
      <c r="A70" s="226">
        <v>19</v>
      </c>
      <c r="B70" s="62" t="s">
        <v>92</v>
      </c>
      <c r="C70" s="213">
        <f>+งบดำเนินงาน!C61+งบดำเนินงาน!C15+งบดำเนินงาน!C141</f>
        <v>21771105</v>
      </c>
      <c r="D70" s="213">
        <f>+งบดำเนินงาน!D61+งบดำเนินงาน!D15+งบดำเนินงาน!D141</f>
        <v>11244630</v>
      </c>
      <c r="E70" s="98">
        <f>+งบดำเนินงาน!E61+งบดำเนินงาน!E15+งบดำเนินงาน!E141</f>
        <v>0</v>
      </c>
      <c r="F70" s="98">
        <f t="shared" si="7"/>
        <v>0</v>
      </c>
      <c r="G70" s="98">
        <f>+งบดำเนินงาน!G61+งบดำเนินงาน!G15+งบดำเนินงาน!G141</f>
        <v>163219</v>
      </c>
      <c r="H70" s="98">
        <f t="shared" si="8"/>
        <v>1.4515284184539643</v>
      </c>
      <c r="I70" s="98">
        <f>+งบดำเนินงาน!I61+งบดำเนินงาน!I15+งบดำเนินงาน!I141</f>
        <v>30208.240000000002</v>
      </c>
      <c r="J70" s="98">
        <f t="shared" si="9"/>
        <v>0.26864592254258257</v>
      </c>
      <c r="K70" s="98">
        <f>+งบดำเนินงาน!K61+งบดำเนินงาน!K15+งบดำเนินงาน!K141</f>
        <v>1307048</v>
      </c>
      <c r="L70" s="98">
        <f t="shared" si="10"/>
        <v>11.623752849137766</v>
      </c>
      <c r="M70" s="98">
        <f>+งบดำเนินงาน!M61+งบดำเนินงาน!M15+งบดำเนินงาน!M141</f>
        <v>1500475.24</v>
      </c>
      <c r="N70" s="98">
        <f t="shared" si="11"/>
        <v>13.343927190134313</v>
      </c>
      <c r="O70" s="98">
        <f>+งบดำเนินงาน!O61+งบดำเนินงาน!O15+งบดำเนินงาน!O141</f>
        <v>9744154.7599999998</v>
      </c>
      <c r="P70" s="98">
        <f t="shared" si="12"/>
        <v>86.656072809865691</v>
      </c>
      <c r="Q70" s="98">
        <f>+งบดำเนินงาน!Q61+งบดำเนินงาน!Q15+งบดำเนินงาน!Q141</f>
        <v>20270629.759999998</v>
      </c>
      <c r="R70" s="98">
        <f t="shared" si="13"/>
        <v>93.107950928535772</v>
      </c>
      <c r="S70" s="238"/>
      <c r="T70" s="238"/>
    </row>
    <row r="71" spans="1:20" s="74" customFormat="1" hidden="1">
      <c r="A71" s="227"/>
      <c r="B71" s="228" t="s">
        <v>75</v>
      </c>
      <c r="C71" s="229">
        <f>+งบดำเนินงาน!C62+งบดำเนินงาน!C15+งบดำเนินงาน!C141</f>
        <v>21771105</v>
      </c>
      <c r="D71" s="229">
        <f>+งบดำเนินงาน!D62+งบดำเนินงาน!D15+งบดำเนินงาน!D141</f>
        <v>11244630</v>
      </c>
      <c r="E71" s="108">
        <f>+งบดำเนินงาน!E62+งบดำเนินงาน!E15+งบดำเนินงาน!E141</f>
        <v>0</v>
      </c>
      <c r="F71" s="108">
        <f t="shared" si="7"/>
        <v>0</v>
      </c>
      <c r="G71" s="108">
        <f>+งบดำเนินงาน!G62+งบดำเนินงาน!G15+งบดำเนินงาน!G141</f>
        <v>163219</v>
      </c>
      <c r="H71" s="108">
        <f t="shared" si="8"/>
        <v>1.4515284184539643</v>
      </c>
      <c r="I71" s="108">
        <f>+งบดำเนินงาน!I62+งบดำเนินงาน!I15+งบดำเนินงาน!I141</f>
        <v>30208.240000000002</v>
      </c>
      <c r="J71" s="108">
        <f t="shared" si="9"/>
        <v>0.26864592254258257</v>
      </c>
      <c r="K71" s="108">
        <f>+งบดำเนินงาน!K62+งบดำเนินงาน!K15+งบดำเนินงาน!K141</f>
        <v>1307048</v>
      </c>
      <c r="L71" s="108">
        <f t="shared" si="10"/>
        <v>11.623752849137766</v>
      </c>
      <c r="M71" s="108">
        <f>+งบดำเนินงาน!M62+งบดำเนินงาน!M15+งบดำเนินงาน!M141</f>
        <v>1500475.24</v>
      </c>
      <c r="N71" s="108">
        <f t="shared" si="11"/>
        <v>13.343927190134313</v>
      </c>
      <c r="O71" s="108">
        <f>+งบดำเนินงาน!O62+งบดำเนินงาน!O15+งบดำเนินงาน!O141</f>
        <v>9744154.7599999998</v>
      </c>
      <c r="P71" s="108">
        <f t="shared" si="12"/>
        <v>86.656072809865691</v>
      </c>
      <c r="Q71" s="108">
        <f>+งบดำเนินงาน!Q62+งบดำเนินงาน!Q15+งบดำเนินงาน!Q141</f>
        <v>20270629.759999998</v>
      </c>
      <c r="R71" s="108">
        <f t="shared" si="13"/>
        <v>93.107950928535772</v>
      </c>
      <c r="S71" s="238"/>
      <c r="T71" s="238"/>
    </row>
    <row r="72" spans="1:20" s="74" customFormat="1" hidden="1">
      <c r="A72" s="227"/>
      <c r="B72" s="228" t="s">
        <v>76</v>
      </c>
      <c r="C72" s="229">
        <f>+งบดำเนินงาน!C63</f>
        <v>0</v>
      </c>
      <c r="D72" s="229">
        <f>+งบดำเนินงาน!D63</f>
        <v>0</v>
      </c>
      <c r="E72" s="108">
        <f>+งบดำเนินงาน!E63</f>
        <v>0</v>
      </c>
      <c r="F72" s="108" t="e">
        <f t="shared" si="7"/>
        <v>#DIV/0!</v>
      </c>
      <c r="G72" s="108">
        <f>+งบดำเนินงาน!G63</f>
        <v>0</v>
      </c>
      <c r="H72" s="108" t="e">
        <f t="shared" si="8"/>
        <v>#DIV/0!</v>
      </c>
      <c r="I72" s="108">
        <f>+งบดำเนินงาน!I63</f>
        <v>0</v>
      </c>
      <c r="J72" s="108" t="e">
        <f t="shared" si="9"/>
        <v>#DIV/0!</v>
      </c>
      <c r="K72" s="108">
        <f>+งบดำเนินงาน!K63</f>
        <v>0</v>
      </c>
      <c r="L72" s="108" t="e">
        <f t="shared" si="10"/>
        <v>#DIV/0!</v>
      </c>
      <c r="M72" s="108">
        <f>+งบดำเนินงาน!M63</f>
        <v>0</v>
      </c>
      <c r="N72" s="108" t="e">
        <f t="shared" si="11"/>
        <v>#DIV/0!</v>
      </c>
      <c r="O72" s="108">
        <f>+งบดำเนินงาน!O63</f>
        <v>0</v>
      </c>
      <c r="P72" s="108" t="e">
        <f t="shared" si="12"/>
        <v>#DIV/0!</v>
      </c>
      <c r="Q72" s="108">
        <f>+งบดำเนินงาน!Q63</f>
        <v>0</v>
      </c>
      <c r="R72" s="108" t="e">
        <f t="shared" si="13"/>
        <v>#DIV/0!</v>
      </c>
      <c r="S72" s="238"/>
      <c r="T72" s="238"/>
    </row>
    <row r="73" spans="1:20" s="74" customFormat="1">
      <c r="A73" s="226">
        <v>20</v>
      </c>
      <c r="B73" s="231" t="s">
        <v>398</v>
      </c>
      <c r="C73" s="213">
        <f>+งบดำเนินงาน!C25+งบดำเนินงาน!C26+งบดำเนินงาน!C27+งบดำเนินงาน!C28+งบดำเนินงาน!C29+งบดำเนินงาน!C30+งบดำเนินงาน!C23</f>
        <v>22804800</v>
      </c>
      <c r="D73" s="213">
        <f>+งบดำเนินงาน!D25+งบดำเนินงาน!D26+งบดำเนินงาน!D27+งบดำเนินงาน!D28+งบดำเนินงาน!D29+งบดำเนินงาน!D30+งบดำเนินงาน!D23</f>
        <v>11402400</v>
      </c>
      <c r="E73" s="98">
        <f>+งบดำเนินงาน!E25+งบดำเนินงาน!E26+งบดำเนินงาน!E27+งบดำเนินงาน!E28+งบดำเนินงาน!E29+งบดำเนินงาน!E30+งบดำเนินงาน!E23</f>
        <v>0</v>
      </c>
      <c r="F73" s="98">
        <f t="shared" si="7"/>
        <v>0</v>
      </c>
      <c r="G73" s="98">
        <f>+งบดำเนินงาน!G25+งบดำเนินงาน!G26+งบดำเนินงาน!G27+งบดำเนินงาน!G28+งบดำเนินงาน!G29+งบดำเนินงาน!G30+งบดำเนินงาน!G23</f>
        <v>6000</v>
      </c>
      <c r="H73" s="98">
        <f t="shared" si="8"/>
        <v>5.2620500947169017E-2</v>
      </c>
      <c r="I73" s="98">
        <f>+งบดำเนินงาน!I25+งบดำเนินงาน!I26+งบดำเนินงาน!I27+งบดำเนินงาน!I28+งบดำเนินงาน!I29+งบดำเนินงาน!I30+งบดำเนินงาน!I23</f>
        <v>0</v>
      </c>
      <c r="J73" s="98">
        <f t="shared" si="9"/>
        <v>0</v>
      </c>
      <c r="K73" s="98">
        <f>+งบดำเนินงาน!K25+งบดำเนินงาน!K26+งบดำเนินงาน!K27+งบดำเนินงาน!K28+งบดำเนินงาน!K29+งบดำเนินงาน!K30+งบดำเนินงาน!K23</f>
        <v>5097023.22</v>
      </c>
      <c r="L73" s="98">
        <f t="shared" si="10"/>
        <v>44.701319195958746</v>
      </c>
      <c r="M73" s="98">
        <f>+งบดำเนินงาน!M25+งบดำเนินงาน!M26+งบดำเนินงาน!M27+งบดำเนินงาน!M28+งบดำเนินงาน!M29+งบดำเนินงาน!M30+งบดำเนินงาน!M23</f>
        <v>5103023.22</v>
      </c>
      <c r="N73" s="98">
        <f t="shared" si="11"/>
        <v>44.753939696905917</v>
      </c>
      <c r="O73" s="98">
        <f>+งบดำเนินงาน!O25+งบดำเนินงาน!O26+งบดำเนินงาน!O27+งบดำเนินงาน!O28+งบดำเนินงาน!O29+งบดำเนินงาน!O30+งบดำเนินงาน!O23</f>
        <v>6299376.7800000003</v>
      </c>
      <c r="P73" s="98">
        <f t="shared" si="12"/>
        <v>55.246060303094083</v>
      </c>
      <c r="Q73" s="98">
        <f>+งบดำเนินงาน!Q25+งบดำเนินงาน!Q26+งบดำเนินงาน!Q27+งบดำเนินงาน!Q28+งบดำเนินงาน!Q29+งบดำเนินงาน!Q30+งบดำเนินงาน!Q23</f>
        <v>17701776.780000001</v>
      </c>
      <c r="R73" s="98">
        <f t="shared" si="13"/>
        <v>77.623030151547042</v>
      </c>
      <c r="S73" s="238"/>
      <c r="T73" s="238"/>
    </row>
    <row r="74" spans="1:20" s="74" customFormat="1">
      <c r="A74" s="226">
        <v>21</v>
      </c>
      <c r="B74" s="231" t="s">
        <v>18</v>
      </c>
      <c r="C74" s="213">
        <f>+งบดำเนินงาน!C91</f>
        <v>34925100</v>
      </c>
      <c r="D74" s="213">
        <f>+งบดำเนินงาน!D91</f>
        <v>15970070</v>
      </c>
      <c r="E74" s="98">
        <f>+งบดำเนินงาน!E91</f>
        <v>131289</v>
      </c>
      <c r="F74" s="98">
        <f t="shared" si="7"/>
        <v>0.82209407973790971</v>
      </c>
      <c r="G74" s="98">
        <f>+งบดำเนินงาน!G91</f>
        <v>282866.52999999997</v>
      </c>
      <c r="H74" s="98">
        <f t="shared" si="8"/>
        <v>1.7712291179688002</v>
      </c>
      <c r="I74" s="98">
        <f>+งบดำเนินงาน!I91</f>
        <v>131449.25</v>
      </c>
      <c r="J74" s="98">
        <f t="shared" si="9"/>
        <v>0.82309751929703501</v>
      </c>
      <c r="K74" s="98">
        <f>+งบดำเนินงาน!K91</f>
        <v>7252988.21</v>
      </c>
      <c r="L74" s="98">
        <f t="shared" si="10"/>
        <v>45.416132866042538</v>
      </c>
      <c r="M74" s="98">
        <f>+งบดำเนินงาน!M91</f>
        <v>7798592.9900000002</v>
      </c>
      <c r="N74" s="98">
        <f t="shared" si="11"/>
        <v>48.832553583046284</v>
      </c>
      <c r="O74" s="98">
        <f>+งบดำเนินงาน!O91</f>
        <v>8171477.0099999998</v>
      </c>
      <c r="P74" s="98">
        <f t="shared" si="12"/>
        <v>51.167446416953716</v>
      </c>
      <c r="Q74" s="98">
        <f>+งบดำเนินงาน!Q91</f>
        <v>27126507.009999998</v>
      </c>
      <c r="R74" s="98">
        <f t="shared" si="13"/>
        <v>77.670520657063264</v>
      </c>
      <c r="S74" s="238"/>
      <c r="T74" s="238"/>
    </row>
    <row r="75" spans="1:20" s="74" customFormat="1">
      <c r="A75" s="226">
        <v>22</v>
      </c>
      <c r="B75" s="231" t="s">
        <v>48</v>
      </c>
      <c r="C75" s="213">
        <f>+งบดำเนินงาน!C122</f>
        <v>14359500</v>
      </c>
      <c r="D75" s="213">
        <f>+งบดำเนินงาน!D122</f>
        <v>6304750</v>
      </c>
      <c r="E75" s="98">
        <f>+งบดำเนินงาน!E122</f>
        <v>0</v>
      </c>
      <c r="F75" s="98">
        <f t="shared" si="7"/>
        <v>0</v>
      </c>
      <c r="G75" s="98">
        <f>+งบดำเนินงาน!G122</f>
        <v>0</v>
      </c>
      <c r="H75" s="98">
        <f t="shared" si="8"/>
        <v>0</v>
      </c>
      <c r="I75" s="98">
        <f>+งบดำเนินงาน!I122</f>
        <v>89600</v>
      </c>
      <c r="J75" s="98">
        <f t="shared" si="9"/>
        <v>1.4211507196954678</v>
      </c>
      <c r="K75" s="98">
        <f>+งบดำเนินงาน!K122</f>
        <v>112374</v>
      </c>
      <c r="L75" s="98">
        <f t="shared" si="10"/>
        <v>1.782370434989492</v>
      </c>
      <c r="M75" s="98">
        <f>+งบดำเนินงาน!M122</f>
        <v>201974</v>
      </c>
      <c r="N75" s="98">
        <f t="shared" si="11"/>
        <v>3.2035211546849598</v>
      </c>
      <c r="O75" s="98">
        <f>+งบดำเนินงาน!O122</f>
        <v>6102776</v>
      </c>
      <c r="P75" s="98">
        <f t="shared" si="12"/>
        <v>96.796478845315036</v>
      </c>
      <c r="Q75" s="98">
        <f>+งบดำเนินงาน!Q122</f>
        <v>14157526</v>
      </c>
      <c r="R75" s="98">
        <f t="shared" si="13"/>
        <v>98.593446847035068</v>
      </c>
      <c r="S75" s="238"/>
      <c r="T75" s="238"/>
    </row>
    <row r="76" spans="1:20" s="74" customFormat="1">
      <c r="A76" s="226">
        <v>23</v>
      </c>
      <c r="B76" s="231" t="s">
        <v>54</v>
      </c>
      <c r="C76" s="213">
        <f>+งบดำเนินงาน!C128</f>
        <v>11386500</v>
      </c>
      <c r="D76" s="213">
        <f>+งบดำเนินงาน!D128</f>
        <v>5036500</v>
      </c>
      <c r="E76" s="98">
        <f>+งบดำเนินงาน!E128</f>
        <v>0</v>
      </c>
      <c r="F76" s="98">
        <f t="shared" si="7"/>
        <v>0</v>
      </c>
      <c r="G76" s="98">
        <f>+งบดำเนินงาน!G128</f>
        <v>0</v>
      </c>
      <c r="H76" s="98">
        <f t="shared" si="8"/>
        <v>0</v>
      </c>
      <c r="I76" s="98">
        <f>+งบดำเนินงาน!I128</f>
        <v>0</v>
      </c>
      <c r="J76" s="98">
        <f t="shared" si="9"/>
        <v>0</v>
      </c>
      <c r="K76" s="98">
        <f>+งบดำเนินงาน!K128</f>
        <v>0</v>
      </c>
      <c r="L76" s="98">
        <f t="shared" si="10"/>
        <v>0</v>
      </c>
      <c r="M76" s="98">
        <f>+งบดำเนินงาน!M128</f>
        <v>0</v>
      </c>
      <c r="N76" s="98">
        <f t="shared" si="11"/>
        <v>0</v>
      </c>
      <c r="O76" s="98">
        <f>+งบดำเนินงาน!O128</f>
        <v>5036500</v>
      </c>
      <c r="P76" s="98">
        <f t="shared" si="12"/>
        <v>100</v>
      </c>
      <c r="Q76" s="98">
        <f>+งบดำเนินงาน!Q128</f>
        <v>11386500</v>
      </c>
      <c r="R76" s="98">
        <f t="shared" si="13"/>
        <v>100</v>
      </c>
      <c r="S76" s="238"/>
      <c r="T76" s="238"/>
    </row>
    <row r="77" spans="1:20" s="74" customFormat="1">
      <c r="A77" s="226">
        <v>24</v>
      </c>
      <c r="B77" s="231" t="s">
        <v>399</v>
      </c>
      <c r="C77" s="213">
        <f>+งบดำเนินงาน!C130+งบดำเนินงาน!C136</f>
        <v>16767576</v>
      </c>
      <c r="D77" s="213">
        <f>+งบดำเนินงาน!D130+งบดำเนินงาน!D136</f>
        <v>7524746</v>
      </c>
      <c r="E77" s="98">
        <f>+งบดำเนินงาน!E130+งบดำเนินงาน!E136</f>
        <v>0</v>
      </c>
      <c r="F77" s="98">
        <f t="shared" si="7"/>
        <v>0</v>
      </c>
      <c r="G77" s="98">
        <f>+งบดำเนินงาน!G130+งบดำเนินงาน!G136</f>
        <v>0</v>
      </c>
      <c r="H77" s="98">
        <f t="shared" si="8"/>
        <v>0</v>
      </c>
      <c r="I77" s="98">
        <f>+งบดำเนินงาน!I130+งบดำเนินงาน!I136</f>
        <v>0</v>
      </c>
      <c r="J77" s="98">
        <f t="shared" si="9"/>
        <v>0</v>
      </c>
      <c r="K77" s="98">
        <f>+งบดำเนินงาน!K130+งบดำเนินงาน!K136</f>
        <v>0</v>
      </c>
      <c r="L77" s="98">
        <f t="shared" si="10"/>
        <v>0</v>
      </c>
      <c r="M77" s="98">
        <f>+งบดำเนินงาน!M130+งบดำเนินงาน!M136</f>
        <v>0</v>
      </c>
      <c r="N77" s="98">
        <f t="shared" si="11"/>
        <v>0</v>
      </c>
      <c r="O77" s="98">
        <f>+งบดำเนินงาน!O130+งบดำเนินงาน!O136</f>
        <v>7524746</v>
      </c>
      <c r="P77" s="98">
        <f t="shared" ref="P77:P80" si="42">+O77*100/$D77</f>
        <v>100</v>
      </c>
      <c r="Q77" s="98">
        <f>+งบดำเนินงาน!Q130+งบดำเนินงาน!Q136</f>
        <v>16767576</v>
      </c>
      <c r="R77" s="98">
        <f t="shared" ref="R77:R80" si="43">+Q77*100/C77</f>
        <v>100</v>
      </c>
      <c r="S77" s="238"/>
      <c r="T77" s="238"/>
    </row>
    <row r="78" spans="1:20" s="74" customFormat="1">
      <c r="A78" s="255">
        <v>25</v>
      </c>
      <c r="B78" s="274" t="s">
        <v>432</v>
      </c>
      <c r="C78" s="254">
        <f>+รวมทุกงบ!C76</f>
        <v>858220</v>
      </c>
      <c r="D78" s="254">
        <f>+รวมทุกงบ!D76</f>
        <v>858220</v>
      </c>
      <c r="E78" s="254">
        <f>+รวมทุกงบ!E76</f>
        <v>0</v>
      </c>
      <c r="F78" s="98">
        <f t="shared" ref="F78:F80" si="44">+E78*100/$D78</f>
        <v>0</v>
      </c>
      <c r="G78" s="254">
        <f>+รวมทุกงบ!G76</f>
        <v>0</v>
      </c>
      <c r="H78" s="98">
        <f t="shared" ref="H78:H79" si="45">+G78*100/$D78</f>
        <v>0</v>
      </c>
      <c r="I78" s="254">
        <f>+รวมทุกงบ!I76</f>
        <v>7800</v>
      </c>
      <c r="J78" s="98">
        <f t="shared" ref="J78:J79" si="46">+I78*100/$D78</f>
        <v>0.90885786861177786</v>
      </c>
      <c r="K78" s="254">
        <f>+รวมทุกงบ!K76</f>
        <v>4243.59</v>
      </c>
      <c r="L78" s="98">
        <f t="shared" ref="L78:L79" si="47">+K78*100/$D78</f>
        <v>0.49446412341823776</v>
      </c>
      <c r="M78" s="254">
        <f>+รวมทุกงบ!M76</f>
        <v>12043.59</v>
      </c>
      <c r="N78" s="98">
        <f t="shared" ref="N78:N79" si="48">+M78*100/$D78</f>
        <v>1.4033219920300155</v>
      </c>
      <c r="O78" s="254">
        <f>+รวมทุกงบ!O76</f>
        <v>846176.41</v>
      </c>
      <c r="P78" s="254">
        <f>+รวมทุกงบ!P76</f>
        <v>98.596678007969984</v>
      </c>
      <c r="Q78" s="254">
        <f>+รวมทุกงบ!Q76</f>
        <v>846176.41</v>
      </c>
      <c r="R78" s="254">
        <f>+รวมทุกงบ!R76</f>
        <v>98.596678007969984</v>
      </c>
      <c r="S78" s="238"/>
      <c r="T78" s="238"/>
    </row>
    <row r="79" spans="1:20" s="74" customFormat="1">
      <c r="A79" s="255">
        <v>26</v>
      </c>
      <c r="B79" s="274" t="s">
        <v>433</v>
      </c>
      <c r="C79" s="254">
        <f>+รวมทุกงบ!C123</f>
        <v>2116864</v>
      </c>
      <c r="D79" s="254">
        <f>+รวมทุกงบ!D123</f>
        <v>2116864</v>
      </c>
      <c r="E79" s="254">
        <f>+รวมทุกงบ!E123</f>
        <v>0</v>
      </c>
      <c r="F79" s="98">
        <f t="shared" si="44"/>
        <v>0</v>
      </c>
      <c r="G79" s="254">
        <f>+รวมทุกงบ!G123</f>
        <v>0</v>
      </c>
      <c r="H79" s="98">
        <f t="shared" si="45"/>
        <v>0</v>
      </c>
      <c r="I79" s="254">
        <f>+รวมทุกงบ!I123</f>
        <v>0</v>
      </c>
      <c r="J79" s="98">
        <f t="shared" si="46"/>
        <v>0</v>
      </c>
      <c r="K79" s="254">
        <f>+รวมทุกงบ!K123</f>
        <v>361169.73</v>
      </c>
      <c r="L79" s="98">
        <f t="shared" si="47"/>
        <v>17.061546230650624</v>
      </c>
      <c r="M79" s="254">
        <f>+รวมทุกงบ!M123</f>
        <v>361169.73</v>
      </c>
      <c r="N79" s="98">
        <f t="shared" si="48"/>
        <v>17.061546230650624</v>
      </c>
      <c r="O79" s="254">
        <f>+รวมทุกงบ!O123</f>
        <v>1755694.27</v>
      </c>
      <c r="P79" s="254">
        <f>+รวมทุกงบ!P123</f>
        <v>82.93845376934938</v>
      </c>
      <c r="Q79" s="254">
        <f>+รวมทุกงบ!Q123</f>
        <v>1755694.27</v>
      </c>
      <c r="R79" s="254">
        <f>+รวมทุกงบ!R123</f>
        <v>82.93845376934938</v>
      </c>
      <c r="S79" s="238"/>
      <c r="T79" s="238"/>
    </row>
    <row r="80" spans="1:20" s="74" customFormat="1" ht="21.75" thickBot="1">
      <c r="A80" s="1055" t="s">
        <v>11</v>
      </c>
      <c r="B80" s="1056"/>
      <c r="C80" s="232">
        <f>+C28+C13+C19+C38+C54+C35+C25+C41+C10+C16+C67+C70+C51+C64+C48+C44+C57+C22+C61+C73+C74+C75+C76+C77+C78+C79</f>
        <v>295245000</v>
      </c>
      <c r="D80" s="232">
        <f>+D28+D13+D19+D38+D54+D35+D25+D41+D10+D16+D67+D70+D51+D64+D48+D44+D57+D22+D61+D73+D74+D75+D76+D77+D78+D79</f>
        <v>147414900</v>
      </c>
      <c r="E80" s="232">
        <f>+E28+E13+E19+E38+E54+E35+E25+E41+E10+E16+E67+E70+E51+E64+E48+E44+E57+E22+E61+E73+E74+E75+E76+E77+E78+E79</f>
        <v>302249</v>
      </c>
      <c r="F80" s="237">
        <f t="shared" si="44"/>
        <v>0.2050328698116676</v>
      </c>
      <c r="G80" s="237">
        <f>+G28+G13+G19+G38+G54+G35+G25+G41+G10+G16+G67+G70+G51+G64+G48+G44+G57+G22+G61+G73+G74+G75+G76+G77+G78+G79</f>
        <v>1676391.6199999999</v>
      </c>
      <c r="H80" s="237">
        <f t="shared" ref="H80" si="49">+G80*100/$D80</f>
        <v>1.1371927939441671</v>
      </c>
      <c r="I80" s="237">
        <f>+I28+I13+I19+I38+I54+I35+I25+I41+I10+I16+I67+I70+I51+I64+I48+I44+I57+I22+I61+I73+I74+I75+I76+I77+I78+I79</f>
        <v>1163090.8500000001</v>
      </c>
      <c r="J80" s="237">
        <f t="shared" ref="J80" si="50">+I80*100/$D80</f>
        <v>0.78899137739807856</v>
      </c>
      <c r="K80" s="237">
        <f>+K28+K13+K19+K38+K54+K35+K25+K41+K10+K16+K67+K70+K51+K64+K48+K44+K57+K22+K61+K73+K74+K75+K76+K77+K78+K79</f>
        <v>36618168.959999993</v>
      </c>
      <c r="L80" s="237">
        <f t="shared" ref="L80" si="51">+K80*100/$D80</f>
        <v>24.840208798432176</v>
      </c>
      <c r="M80" s="237">
        <f>+M28+M13+M19+M38+M54+M35+M25+M41+M10+M16+M67+M70+M51+M64+M48+M44+M57+M22+M61+M73+M74+M75+M76+M77+M78+M79</f>
        <v>39759900.43</v>
      </c>
      <c r="N80" s="237">
        <f t="shared" ref="N80" si="52">+M80*100/$D80</f>
        <v>26.971425839586093</v>
      </c>
      <c r="O80" s="237">
        <f>+O28+O13+O19+O38+O54+O35+O25+O41+O10+O16+O67+O70+O51+O64+O48+O44+O57+O22+O61+O73+O74+O75+O76+O77+O78+O79</f>
        <v>107654999.57000001</v>
      </c>
      <c r="P80" s="237">
        <f t="shared" si="42"/>
        <v>73.02857416041391</v>
      </c>
      <c r="Q80" s="237">
        <f>+Q28+Q13+Q19+Q38+Q54+Q35+Q25+Q41+Q10+Q16+Q67+Q70+Q51+Q64+Q48+Q44+Q57+Q22+Q61+Q73+Q74+Q75+Q76+Q77+Q78+Q79</f>
        <v>255485099.56999999</v>
      </c>
      <c r="R80" s="237">
        <f t="shared" si="43"/>
        <v>86.533251899270098</v>
      </c>
      <c r="S80" s="238"/>
      <c r="T80" s="238"/>
    </row>
    <row r="81" spans="1:19" s="236" customFormat="1" ht="21.75" thickTop="1">
      <c r="A81" s="233"/>
      <c r="B81" s="234"/>
      <c r="C81" s="235"/>
      <c r="D81" s="235"/>
      <c r="E81" s="235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</row>
    <row r="82" spans="1:19"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</row>
    <row r="83" spans="1:19"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</row>
    <row r="84" spans="1:19">
      <c r="C84" s="113"/>
      <c r="D84" s="113"/>
    </row>
  </sheetData>
  <mergeCells count="19">
    <mergeCell ref="A6:R6"/>
    <mergeCell ref="A1:R1"/>
    <mergeCell ref="A2:R2"/>
    <mergeCell ref="A3:R3"/>
    <mergeCell ref="A4:R4"/>
    <mergeCell ref="A5:R5"/>
    <mergeCell ref="Q8:R8"/>
    <mergeCell ref="A80:B80"/>
    <mergeCell ref="A8:A9"/>
    <mergeCell ref="B8:B9"/>
    <mergeCell ref="C8:C9"/>
    <mergeCell ref="D8:D9"/>
    <mergeCell ref="E8:F8"/>
    <mergeCell ref="G8:H8"/>
    <mergeCell ref="M7:N7"/>
    <mergeCell ref="I8:J8"/>
    <mergeCell ref="K8:L8"/>
    <mergeCell ref="M8:N8"/>
    <mergeCell ref="O8:P8"/>
  </mergeCells>
  <pageMargins left="0.17" right="0.15748031496062992" top="0.35" bottom="0.23622047244094491" header="0.31496062992125984" footer="0.15748031496062992"/>
  <pageSetup paperSize="9" scale="6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12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:R2"/>
    </sheetView>
  </sheetViews>
  <sheetFormatPr defaultRowHeight="21"/>
  <cols>
    <col min="1" max="1" width="5.5" style="172" customWidth="1"/>
    <col min="2" max="2" width="16.375" style="172" customWidth="1"/>
    <col min="3" max="3" width="15.75" style="172" customWidth="1"/>
    <col min="4" max="4" width="17.125" style="172" customWidth="1"/>
    <col min="5" max="5" width="13.625" style="172" customWidth="1"/>
    <col min="6" max="6" width="6.875" style="172" customWidth="1"/>
    <col min="7" max="7" width="13.5" style="172" customWidth="1"/>
    <col min="8" max="8" width="7.125" style="172" customWidth="1"/>
    <col min="9" max="9" width="13.875" style="172" customWidth="1"/>
    <col min="10" max="10" width="7.5" style="172" customWidth="1"/>
    <col min="11" max="11" width="14.25" style="172" customWidth="1"/>
    <col min="12" max="12" width="7.25" style="172" customWidth="1"/>
    <col min="13" max="13" width="14.125" style="172" customWidth="1"/>
    <col min="14" max="14" width="7.625" style="172" customWidth="1"/>
    <col min="15" max="15" width="16" style="172" customWidth="1"/>
    <col min="16" max="16" width="7.875" style="172" customWidth="1"/>
    <col min="17" max="17" width="15.25" style="172" customWidth="1"/>
    <col min="18" max="18" width="8.75" style="172" customWidth="1"/>
    <col min="19" max="16384" width="9" style="172"/>
  </cols>
  <sheetData>
    <row r="1" spans="1:29" ht="21" customHeight="1">
      <c r="A1" s="1068" t="s">
        <v>189</v>
      </c>
      <c r="B1" s="1068"/>
      <c r="C1" s="1068"/>
      <c r="D1" s="1068"/>
      <c r="E1" s="1068"/>
      <c r="F1" s="1068"/>
      <c r="G1" s="1068"/>
      <c r="H1" s="1068"/>
      <c r="I1" s="1068"/>
      <c r="J1" s="1068"/>
      <c r="K1" s="1068"/>
      <c r="L1" s="1068"/>
      <c r="M1" s="1068"/>
      <c r="N1" s="1068"/>
      <c r="O1" s="1068"/>
      <c r="P1" s="1068"/>
      <c r="Q1" s="1068"/>
      <c r="R1" s="1068"/>
      <c r="S1" s="171"/>
    </row>
    <row r="2" spans="1:29" ht="21" customHeight="1">
      <c r="A2" s="1022" t="s">
        <v>306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022"/>
      <c r="N2" s="1022"/>
      <c r="O2" s="1022"/>
      <c r="P2" s="1022"/>
      <c r="Q2" s="1022"/>
      <c r="R2" s="1022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</row>
    <row r="3" spans="1:29">
      <c r="A3" s="1021" t="str">
        <f>+งบดำเนินงาน!A3</f>
        <v>ตั้งแต่วันที่ 1 ตุลาคม 2565 - 31 ธันวาคม 2565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R3" s="1021"/>
      <c r="S3" s="173"/>
    </row>
    <row r="4" spans="1:29">
      <c r="A4" s="1021" t="str">
        <f>+งบดำเนินงาน!A4</f>
        <v xml:space="preserve"> เป้าหมาย อย. สิ้นสุด 31 ธ.ค.65  (ยอดเบิกจ่ายในภาพรวมรับจัดสรรงวดที่ 1 ร้อยละ 37.50 , งบลงทุน (เฉพาะรายการครุภัณฑ์จัดซื้อ) ร้อยละ 50)</v>
      </c>
      <c r="B4" s="1021"/>
      <c r="C4" s="1021"/>
      <c r="D4" s="1021"/>
      <c r="E4" s="1021"/>
      <c r="F4" s="1021"/>
      <c r="G4" s="1021"/>
      <c r="H4" s="1021"/>
      <c r="I4" s="1021"/>
      <c r="J4" s="1021"/>
      <c r="K4" s="1021"/>
      <c r="L4" s="1021"/>
      <c r="M4" s="1021"/>
      <c r="N4" s="1021"/>
      <c r="O4" s="1021"/>
      <c r="P4" s="1021"/>
      <c r="Q4" s="1021"/>
      <c r="R4" s="1021"/>
      <c r="S4" s="173"/>
    </row>
    <row r="5" spans="1:29">
      <c r="A5" s="1021" t="str">
        <f>+งบดำเนินงาน!A5</f>
        <v xml:space="preserve"> เป้าหมายตามมติ ครม สิ้นสุด 31 ธ.ค.65  (ยอดเบิกจ่ายในภาพรวม ร้อยละ 32 , งบลงทุน  ร้อยละ 19)</v>
      </c>
      <c r="B5" s="1021"/>
      <c r="C5" s="1021"/>
      <c r="D5" s="1021"/>
      <c r="E5" s="1021"/>
      <c r="F5" s="1021"/>
      <c r="G5" s="1021"/>
      <c r="H5" s="1021"/>
      <c r="I5" s="1021"/>
      <c r="J5" s="1021"/>
      <c r="K5" s="1021"/>
      <c r="L5" s="1021"/>
      <c r="M5" s="1021"/>
      <c r="N5" s="1021"/>
      <c r="O5" s="1021"/>
      <c r="P5" s="1021"/>
      <c r="Q5" s="1021"/>
      <c r="R5" s="1021"/>
      <c r="S5" s="173"/>
    </row>
    <row r="6" spans="1:29">
      <c r="A6" s="1021" t="str">
        <f>+งบดำเนินงาน!A6</f>
        <v xml:space="preserve"> เป้าหมายตามมติ ครม สิ้นสุด 31 ธ.ค.65  (ยอดใช้จ่ายในภาพรวม ร้อยละ 34.08 , งบลงทุน  ร้อยละ 28.96)</v>
      </c>
      <c r="B6" s="1021"/>
      <c r="C6" s="1021"/>
      <c r="D6" s="1021"/>
      <c r="E6" s="1021"/>
      <c r="F6" s="1021"/>
      <c r="G6" s="1021"/>
      <c r="H6" s="1021"/>
      <c r="I6" s="1021"/>
      <c r="J6" s="1021"/>
      <c r="K6" s="1021"/>
      <c r="L6" s="1021"/>
      <c r="M6" s="1021"/>
      <c r="N6" s="1021"/>
      <c r="O6" s="1021"/>
      <c r="P6" s="1021"/>
      <c r="Q6" s="1021"/>
      <c r="R6" s="1021"/>
      <c r="S6" s="173"/>
    </row>
    <row r="7" spans="1:29">
      <c r="A7" s="175" t="s">
        <v>307</v>
      </c>
      <c r="B7" s="174"/>
      <c r="C7" s="212" t="s">
        <v>191</v>
      </c>
      <c r="D7" s="212" t="s">
        <v>192</v>
      </c>
      <c r="E7" s="212" t="s">
        <v>193</v>
      </c>
      <c r="F7" s="212"/>
      <c r="G7" s="212" t="s">
        <v>194</v>
      </c>
      <c r="H7" s="212"/>
      <c r="I7" s="212" t="s">
        <v>195</v>
      </c>
      <c r="J7" s="212"/>
      <c r="K7" s="212" t="s">
        <v>196</v>
      </c>
      <c r="L7" s="212"/>
      <c r="M7" s="1054" t="s">
        <v>197</v>
      </c>
      <c r="N7" s="1054"/>
      <c r="O7" s="212" t="s">
        <v>198</v>
      </c>
      <c r="P7" s="212"/>
      <c r="Q7" s="212" t="s">
        <v>199</v>
      </c>
      <c r="R7" s="59"/>
      <c r="S7" s="173"/>
    </row>
    <row r="8" spans="1:29" s="206" customFormat="1" ht="21" customHeight="1">
      <c r="A8" s="1076" t="s">
        <v>106</v>
      </c>
      <c r="B8" s="1077" t="s">
        <v>167</v>
      </c>
      <c r="C8" s="1078" t="s">
        <v>118</v>
      </c>
      <c r="D8" s="1078" t="s">
        <v>131</v>
      </c>
      <c r="E8" s="1075" t="s">
        <v>5</v>
      </c>
      <c r="F8" s="1075"/>
      <c r="G8" s="1064" t="s">
        <v>6</v>
      </c>
      <c r="H8" s="1064"/>
      <c r="I8" s="1065" t="s">
        <v>7</v>
      </c>
      <c r="J8" s="1065"/>
      <c r="K8" s="1066" t="s">
        <v>127</v>
      </c>
      <c r="L8" s="1066"/>
      <c r="M8" s="1067" t="s">
        <v>121</v>
      </c>
      <c r="N8" s="1067"/>
      <c r="O8" s="1063" t="s">
        <v>128</v>
      </c>
      <c r="P8" s="1063"/>
      <c r="Q8" s="1063" t="s">
        <v>129</v>
      </c>
      <c r="R8" s="1063"/>
    </row>
    <row r="9" spans="1:29" s="206" customFormat="1">
      <c r="A9" s="1076"/>
      <c r="B9" s="1077"/>
      <c r="C9" s="1078"/>
      <c r="D9" s="1078"/>
      <c r="E9" s="207" t="s">
        <v>119</v>
      </c>
      <c r="F9" s="207" t="s">
        <v>124</v>
      </c>
      <c r="G9" s="207" t="s">
        <v>119</v>
      </c>
      <c r="H9" s="207" t="s">
        <v>124</v>
      </c>
      <c r="I9" s="207" t="s">
        <v>119</v>
      </c>
      <c r="J9" s="207" t="s">
        <v>124</v>
      </c>
      <c r="K9" s="207" t="s">
        <v>119</v>
      </c>
      <c r="L9" s="207" t="s">
        <v>124</v>
      </c>
      <c r="M9" s="207" t="s">
        <v>119</v>
      </c>
      <c r="N9" s="207" t="s">
        <v>124</v>
      </c>
      <c r="O9" s="207" t="s">
        <v>119</v>
      </c>
      <c r="P9" s="207" t="s">
        <v>124</v>
      </c>
      <c r="Q9" s="207" t="s">
        <v>119</v>
      </c>
      <c r="R9" s="207" t="s">
        <v>124</v>
      </c>
    </row>
    <row r="10" spans="1:29" s="206" customFormat="1">
      <c r="A10" s="200">
        <v>1</v>
      </c>
      <c r="B10" s="168" t="s">
        <v>93</v>
      </c>
      <c r="C10" s="201">
        <f>+งบดำเนินงาน!C36</f>
        <v>786900</v>
      </c>
      <c r="D10" s="201">
        <f>+งบดำเนินงาน!D36</f>
        <v>393450</v>
      </c>
      <c r="E10" s="201">
        <f>+งบดำเนินงาน!E36</f>
        <v>142260</v>
      </c>
      <c r="F10" s="201">
        <f t="shared" ref="F10:F28" si="0">+E10*100/$D10</f>
        <v>36.157072054898968</v>
      </c>
      <c r="G10" s="201">
        <f>+งบดำเนินงาน!G36</f>
        <v>4280</v>
      </c>
      <c r="H10" s="201">
        <f t="shared" ref="H10:H28" si="1">+G10*100/$D10</f>
        <v>1.0878129368407676</v>
      </c>
      <c r="I10" s="201">
        <f>+งบดำเนินงาน!I36</f>
        <v>0</v>
      </c>
      <c r="J10" s="201">
        <f t="shared" ref="J10:J28" si="2">+I10*100/$D10</f>
        <v>0</v>
      </c>
      <c r="K10" s="201">
        <f>+งบดำเนินงาน!K36</f>
        <v>219442.74</v>
      </c>
      <c r="L10" s="201">
        <f t="shared" ref="L10:L28" si="3">+K10*100/$D10</f>
        <v>55.773983987800229</v>
      </c>
      <c r="M10" s="201">
        <f>+งบดำเนินงาน!M36</f>
        <v>365982.74</v>
      </c>
      <c r="N10" s="201">
        <f t="shared" ref="N10:N28" si="4">+M10*100/$D10</f>
        <v>93.018868979539974</v>
      </c>
      <c r="O10" s="201">
        <f>+งบดำเนินงาน!O36</f>
        <v>27467.260000000009</v>
      </c>
      <c r="P10" s="201">
        <f t="shared" ref="P10:P28" si="5">+O10*100/$D10</f>
        <v>6.981131020460035</v>
      </c>
      <c r="Q10" s="201">
        <f>+งบดำเนินงาน!Q36</f>
        <v>420917.26</v>
      </c>
      <c r="R10" s="201">
        <f t="shared" ref="R10:R24" si="6">+Q10*100/C10</f>
        <v>53.490565510230013</v>
      </c>
      <c r="S10" s="239"/>
      <c r="T10" s="239"/>
    </row>
    <row r="11" spans="1:29" s="206" customFormat="1" hidden="1">
      <c r="A11" s="202"/>
      <c r="B11" s="51" t="s">
        <v>75</v>
      </c>
      <c r="C11" s="203">
        <f>+งบดำเนินงาน!C37</f>
        <v>786900</v>
      </c>
      <c r="D11" s="203">
        <f>+งบดำเนินงาน!D37</f>
        <v>393450</v>
      </c>
      <c r="E11" s="203">
        <f>+งบดำเนินงาน!E37</f>
        <v>142260</v>
      </c>
      <c r="F11" s="203">
        <f t="shared" si="0"/>
        <v>36.157072054898968</v>
      </c>
      <c r="G11" s="203">
        <f>+งบดำเนินงาน!G37</f>
        <v>4280</v>
      </c>
      <c r="H11" s="203">
        <f t="shared" si="1"/>
        <v>1.0878129368407676</v>
      </c>
      <c r="I11" s="203">
        <f>+งบดำเนินงาน!I37</f>
        <v>0</v>
      </c>
      <c r="J11" s="203">
        <f t="shared" si="2"/>
        <v>0</v>
      </c>
      <c r="K11" s="203">
        <f>+งบดำเนินงาน!K37</f>
        <v>219442.74</v>
      </c>
      <c r="L11" s="203">
        <f t="shared" si="3"/>
        <v>55.773983987800229</v>
      </c>
      <c r="M11" s="203">
        <f>+งบดำเนินงาน!M37</f>
        <v>365982.74</v>
      </c>
      <c r="N11" s="203">
        <f t="shared" si="4"/>
        <v>93.018868979539974</v>
      </c>
      <c r="O11" s="203">
        <f>+งบดำเนินงาน!O37</f>
        <v>27467.260000000009</v>
      </c>
      <c r="P11" s="203">
        <f t="shared" si="5"/>
        <v>6.981131020460035</v>
      </c>
      <c r="Q11" s="203">
        <f>+งบดำเนินงาน!Q37</f>
        <v>420917.26</v>
      </c>
      <c r="R11" s="203">
        <f t="shared" si="6"/>
        <v>53.490565510230013</v>
      </c>
      <c r="S11" s="239"/>
      <c r="T11" s="239"/>
    </row>
    <row r="12" spans="1:29" s="206" customFormat="1" hidden="1">
      <c r="A12" s="202"/>
      <c r="B12" s="51" t="s">
        <v>76</v>
      </c>
      <c r="C12" s="203">
        <f>+งบดำเนินงาน!C38</f>
        <v>0</v>
      </c>
      <c r="D12" s="203">
        <f>+งบดำเนินงาน!D38</f>
        <v>0</v>
      </c>
      <c r="E12" s="203">
        <f>+งบดำเนินงาน!E38</f>
        <v>0</v>
      </c>
      <c r="F12" s="203" t="e">
        <f t="shared" si="0"/>
        <v>#DIV/0!</v>
      </c>
      <c r="G12" s="203">
        <f>+งบดำเนินงาน!G38</f>
        <v>0</v>
      </c>
      <c r="H12" s="203" t="e">
        <f t="shared" si="1"/>
        <v>#DIV/0!</v>
      </c>
      <c r="I12" s="203">
        <f>+งบดำเนินงาน!I38</f>
        <v>0</v>
      </c>
      <c r="J12" s="203" t="e">
        <f t="shared" si="2"/>
        <v>#DIV/0!</v>
      </c>
      <c r="K12" s="203">
        <f>+งบดำเนินงาน!K38</f>
        <v>0</v>
      </c>
      <c r="L12" s="203" t="e">
        <f t="shared" si="3"/>
        <v>#DIV/0!</v>
      </c>
      <c r="M12" s="203">
        <f>+งบดำเนินงาน!M38</f>
        <v>0</v>
      </c>
      <c r="N12" s="203" t="e">
        <f t="shared" si="4"/>
        <v>#DIV/0!</v>
      </c>
      <c r="O12" s="203">
        <f>+งบดำเนินงาน!O38</f>
        <v>0</v>
      </c>
      <c r="P12" s="203" t="e">
        <f t="shared" si="5"/>
        <v>#DIV/0!</v>
      </c>
      <c r="Q12" s="203">
        <f>+งบดำเนินงาน!Q38</f>
        <v>0</v>
      </c>
      <c r="R12" s="203" t="e">
        <f t="shared" si="6"/>
        <v>#DIV/0!</v>
      </c>
      <c r="S12" s="239"/>
      <c r="T12" s="239"/>
    </row>
    <row r="13" spans="1:29" s="206" customFormat="1">
      <c r="A13" s="200">
        <v>2</v>
      </c>
      <c r="B13" s="168" t="s">
        <v>79</v>
      </c>
      <c r="C13" s="201">
        <f>+งบดำเนินงาน!C39</f>
        <v>851290</v>
      </c>
      <c r="D13" s="201">
        <f>+งบดำเนินงาน!D39</f>
        <v>529310</v>
      </c>
      <c r="E13" s="201">
        <f>+งบดำเนินงาน!E39</f>
        <v>0</v>
      </c>
      <c r="F13" s="201">
        <f t="shared" si="0"/>
        <v>0</v>
      </c>
      <c r="G13" s="201">
        <f>+งบดำเนินงาน!G39</f>
        <v>20300</v>
      </c>
      <c r="H13" s="201">
        <f t="shared" si="1"/>
        <v>3.8351816515841377</v>
      </c>
      <c r="I13" s="201">
        <f>+งบดำเนินงาน!I39</f>
        <v>0</v>
      </c>
      <c r="J13" s="201">
        <f t="shared" si="2"/>
        <v>0</v>
      </c>
      <c r="K13" s="201">
        <f>+งบดำเนินงาน!K39</f>
        <v>290033.05000000005</v>
      </c>
      <c r="L13" s="201">
        <f t="shared" si="3"/>
        <v>54.794553286353938</v>
      </c>
      <c r="M13" s="201">
        <f>+งบดำเนินงาน!M39</f>
        <v>310333.05000000005</v>
      </c>
      <c r="N13" s="201">
        <f t="shared" si="4"/>
        <v>58.629734937938075</v>
      </c>
      <c r="O13" s="201">
        <f>+งบดำเนินงาน!O39</f>
        <v>218976.94999999995</v>
      </c>
      <c r="P13" s="201">
        <f t="shared" si="5"/>
        <v>41.370265062061925</v>
      </c>
      <c r="Q13" s="201">
        <f>+งบดำเนินงาน!Q39</f>
        <v>540956.94999999995</v>
      </c>
      <c r="R13" s="201">
        <f t="shared" si="6"/>
        <v>63.545554393919808</v>
      </c>
      <c r="S13" s="239"/>
      <c r="T13" s="239"/>
    </row>
    <row r="14" spans="1:29" s="206" customFormat="1" hidden="1">
      <c r="A14" s="202"/>
      <c r="B14" s="169" t="s">
        <v>75</v>
      </c>
      <c r="C14" s="203">
        <f>+งบดำเนินงาน!C40</f>
        <v>851290</v>
      </c>
      <c r="D14" s="203">
        <f>+งบดำเนินงาน!D40</f>
        <v>529310</v>
      </c>
      <c r="E14" s="203">
        <f>+งบดำเนินงาน!E40</f>
        <v>0</v>
      </c>
      <c r="F14" s="203">
        <f t="shared" si="0"/>
        <v>0</v>
      </c>
      <c r="G14" s="203">
        <f>+งบดำเนินงาน!G40</f>
        <v>20300</v>
      </c>
      <c r="H14" s="203">
        <f t="shared" si="1"/>
        <v>3.8351816515841377</v>
      </c>
      <c r="I14" s="203">
        <f>+งบดำเนินงาน!I40</f>
        <v>0</v>
      </c>
      <c r="J14" s="203">
        <f t="shared" si="2"/>
        <v>0</v>
      </c>
      <c r="K14" s="203">
        <f>+งบดำเนินงาน!K40</f>
        <v>290033.05000000005</v>
      </c>
      <c r="L14" s="203">
        <f t="shared" si="3"/>
        <v>54.794553286353938</v>
      </c>
      <c r="M14" s="203">
        <f>+งบดำเนินงาน!M40</f>
        <v>310333.05000000005</v>
      </c>
      <c r="N14" s="203">
        <f t="shared" si="4"/>
        <v>58.629734937938075</v>
      </c>
      <c r="O14" s="203">
        <f>+งบดำเนินงาน!O40</f>
        <v>218976.94999999995</v>
      </c>
      <c r="P14" s="203">
        <f t="shared" si="5"/>
        <v>41.370265062061925</v>
      </c>
      <c r="Q14" s="203">
        <f>+งบดำเนินงาน!Q40</f>
        <v>540956.94999999995</v>
      </c>
      <c r="R14" s="203">
        <f t="shared" si="6"/>
        <v>63.545554393919808</v>
      </c>
      <c r="S14" s="239"/>
      <c r="T14" s="239"/>
    </row>
    <row r="15" spans="1:29" s="206" customFormat="1" hidden="1">
      <c r="A15" s="202"/>
      <c r="B15" s="169" t="s">
        <v>76</v>
      </c>
      <c r="C15" s="203">
        <f>+งบดำเนินงาน!C41</f>
        <v>0</v>
      </c>
      <c r="D15" s="203">
        <f>+งบดำเนินงาน!D41</f>
        <v>0</v>
      </c>
      <c r="E15" s="203">
        <f>+งบดำเนินงาน!E41</f>
        <v>0</v>
      </c>
      <c r="F15" s="203" t="e">
        <f t="shared" si="0"/>
        <v>#DIV/0!</v>
      </c>
      <c r="G15" s="203">
        <f>+งบดำเนินงาน!G41</f>
        <v>0</v>
      </c>
      <c r="H15" s="203" t="e">
        <f t="shared" si="1"/>
        <v>#DIV/0!</v>
      </c>
      <c r="I15" s="203">
        <f>+งบดำเนินงาน!I41</f>
        <v>0</v>
      </c>
      <c r="J15" s="203" t="e">
        <f t="shared" si="2"/>
        <v>#DIV/0!</v>
      </c>
      <c r="K15" s="203">
        <f>+งบดำเนินงาน!K41</f>
        <v>0</v>
      </c>
      <c r="L15" s="203" t="e">
        <f t="shared" si="3"/>
        <v>#DIV/0!</v>
      </c>
      <c r="M15" s="203">
        <f>+งบดำเนินงาน!M41</f>
        <v>0</v>
      </c>
      <c r="N15" s="203" t="e">
        <f t="shared" si="4"/>
        <v>#DIV/0!</v>
      </c>
      <c r="O15" s="203">
        <f>+งบดำเนินงาน!O41</f>
        <v>0</v>
      </c>
      <c r="P15" s="203" t="e">
        <f t="shared" si="5"/>
        <v>#DIV/0!</v>
      </c>
      <c r="Q15" s="203">
        <f>+งบดำเนินงาน!Q41</f>
        <v>0</v>
      </c>
      <c r="R15" s="203" t="e">
        <f t="shared" si="6"/>
        <v>#DIV/0!</v>
      </c>
      <c r="S15" s="239"/>
      <c r="T15" s="239"/>
    </row>
    <row r="16" spans="1:29" s="206" customFormat="1">
      <c r="A16" s="200">
        <v>3</v>
      </c>
      <c r="B16" s="168" t="s">
        <v>58</v>
      </c>
      <c r="C16" s="201">
        <f>+งบดำเนินงาน!C42</f>
        <v>395950</v>
      </c>
      <c r="D16" s="201">
        <f>+งบดำเนินงาน!D42</f>
        <v>197975</v>
      </c>
      <c r="E16" s="201">
        <f>+งบดำเนินงาน!E42</f>
        <v>0</v>
      </c>
      <c r="F16" s="201">
        <f t="shared" si="0"/>
        <v>0</v>
      </c>
      <c r="G16" s="201">
        <f>+งบดำเนินงาน!G42</f>
        <v>29760</v>
      </c>
      <c r="H16" s="201">
        <f t="shared" si="1"/>
        <v>15.032201035484277</v>
      </c>
      <c r="I16" s="201">
        <f>+งบดำเนินงาน!I42</f>
        <v>0</v>
      </c>
      <c r="J16" s="201">
        <f t="shared" si="2"/>
        <v>0</v>
      </c>
      <c r="K16" s="201">
        <f>+งบดำเนินงาน!K42</f>
        <v>104926.06</v>
      </c>
      <c r="L16" s="201">
        <f t="shared" si="3"/>
        <v>52.999651471145349</v>
      </c>
      <c r="M16" s="201">
        <f>+งบดำเนินงาน!M42</f>
        <v>134686.06</v>
      </c>
      <c r="N16" s="201">
        <f t="shared" si="4"/>
        <v>68.031852506629619</v>
      </c>
      <c r="O16" s="201">
        <f>+งบดำเนินงาน!O42</f>
        <v>63288.94</v>
      </c>
      <c r="P16" s="201">
        <f t="shared" si="5"/>
        <v>31.968147493370374</v>
      </c>
      <c r="Q16" s="201">
        <f>+งบดำเนินงาน!Q42</f>
        <v>261263.94</v>
      </c>
      <c r="R16" s="201">
        <f t="shared" si="6"/>
        <v>65.984073746685183</v>
      </c>
      <c r="S16" s="239"/>
      <c r="T16" s="239"/>
    </row>
    <row r="17" spans="1:20" s="206" customFormat="1" hidden="1">
      <c r="A17" s="202"/>
      <c r="B17" s="169" t="s">
        <v>75</v>
      </c>
      <c r="C17" s="203">
        <f>+งบดำเนินงาน!C43</f>
        <v>395950</v>
      </c>
      <c r="D17" s="203">
        <f>+งบดำเนินงาน!D43</f>
        <v>197975</v>
      </c>
      <c r="E17" s="203">
        <f>+งบดำเนินงาน!E43</f>
        <v>0</v>
      </c>
      <c r="F17" s="203">
        <f t="shared" si="0"/>
        <v>0</v>
      </c>
      <c r="G17" s="203">
        <f>+งบดำเนินงาน!G43</f>
        <v>29760</v>
      </c>
      <c r="H17" s="203">
        <f t="shared" si="1"/>
        <v>15.032201035484277</v>
      </c>
      <c r="I17" s="203">
        <f>+งบดำเนินงาน!I43</f>
        <v>0</v>
      </c>
      <c r="J17" s="203">
        <f t="shared" si="2"/>
        <v>0</v>
      </c>
      <c r="K17" s="203">
        <f>+งบดำเนินงาน!K43</f>
        <v>104926.06</v>
      </c>
      <c r="L17" s="203">
        <f t="shared" si="3"/>
        <v>52.999651471145349</v>
      </c>
      <c r="M17" s="203">
        <f>+งบดำเนินงาน!M43</f>
        <v>134686.06</v>
      </c>
      <c r="N17" s="203">
        <f t="shared" si="4"/>
        <v>68.031852506629619</v>
      </c>
      <c r="O17" s="203">
        <f>+งบดำเนินงาน!O43</f>
        <v>63288.94</v>
      </c>
      <c r="P17" s="203">
        <f t="shared" si="5"/>
        <v>31.968147493370374</v>
      </c>
      <c r="Q17" s="203">
        <f>+งบดำเนินงาน!Q43</f>
        <v>261263.94</v>
      </c>
      <c r="R17" s="203">
        <f t="shared" si="6"/>
        <v>65.984073746685183</v>
      </c>
      <c r="S17" s="239"/>
      <c r="T17" s="239"/>
    </row>
    <row r="18" spans="1:20" s="206" customFormat="1" hidden="1">
      <c r="A18" s="202"/>
      <c r="B18" s="169" t="s">
        <v>76</v>
      </c>
      <c r="C18" s="203">
        <f>+งบดำเนินงาน!C44</f>
        <v>0</v>
      </c>
      <c r="D18" s="203">
        <f>+งบดำเนินงาน!D44</f>
        <v>0</v>
      </c>
      <c r="E18" s="203">
        <f>+งบดำเนินงาน!E44</f>
        <v>0</v>
      </c>
      <c r="F18" s="203" t="e">
        <f t="shared" si="0"/>
        <v>#DIV/0!</v>
      </c>
      <c r="G18" s="203">
        <f>+งบดำเนินงาน!G44</f>
        <v>0</v>
      </c>
      <c r="H18" s="203" t="e">
        <f t="shared" si="1"/>
        <v>#DIV/0!</v>
      </c>
      <c r="I18" s="203">
        <f>+งบดำเนินงาน!I44</f>
        <v>0</v>
      </c>
      <c r="J18" s="203" t="e">
        <f t="shared" si="2"/>
        <v>#DIV/0!</v>
      </c>
      <c r="K18" s="203">
        <f>+งบดำเนินงาน!K44</f>
        <v>0</v>
      </c>
      <c r="L18" s="203" t="e">
        <f t="shared" si="3"/>
        <v>#DIV/0!</v>
      </c>
      <c r="M18" s="203">
        <f>+งบดำเนินงาน!M44</f>
        <v>0</v>
      </c>
      <c r="N18" s="203" t="e">
        <f t="shared" si="4"/>
        <v>#DIV/0!</v>
      </c>
      <c r="O18" s="203">
        <f>+งบดำเนินงาน!O44</f>
        <v>0</v>
      </c>
      <c r="P18" s="203" t="e">
        <f t="shared" si="5"/>
        <v>#DIV/0!</v>
      </c>
      <c r="Q18" s="203">
        <f>+งบดำเนินงาน!Q44</f>
        <v>0</v>
      </c>
      <c r="R18" s="203" t="e">
        <f t="shared" si="6"/>
        <v>#DIV/0!</v>
      </c>
      <c r="S18" s="239"/>
      <c r="T18" s="239"/>
    </row>
    <row r="19" spans="1:20" s="206" customFormat="1">
      <c r="A19" s="200">
        <v>4</v>
      </c>
      <c r="B19" s="168" t="s">
        <v>84</v>
      </c>
      <c r="C19" s="201">
        <f>+งบดำเนินงาน!C45+งบดำเนินงาน!C21</f>
        <v>7560110</v>
      </c>
      <c r="D19" s="201">
        <f>+งบดำเนินงาน!D45+งบดำเนินงาน!D21</f>
        <v>4883710</v>
      </c>
      <c r="E19" s="201">
        <f>+งบดำเนินงาน!E45+งบดำเนินงาน!E21</f>
        <v>0</v>
      </c>
      <c r="F19" s="201">
        <f t="shared" si="0"/>
        <v>0</v>
      </c>
      <c r="G19" s="201">
        <f>+งบดำเนินงาน!G45+งบดำเนินงาน!G21</f>
        <v>83202</v>
      </c>
      <c r="H19" s="201">
        <f t="shared" si="1"/>
        <v>1.7036638129618671</v>
      </c>
      <c r="I19" s="201">
        <f>+งบดำเนินงาน!I45+งบดำเนินงาน!I21</f>
        <v>82627.3</v>
      </c>
      <c r="J19" s="201">
        <f t="shared" si="2"/>
        <v>1.6918961199579827</v>
      </c>
      <c r="K19" s="201">
        <f>+งบดำเนินงาน!K45+งบดำเนินงาน!K21</f>
        <v>2542293.19</v>
      </c>
      <c r="L19" s="201">
        <f t="shared" si="3"/>
        <v>52.056596112381776</v>
      </c>
      <c r="M19" s="201">
        <f>+งบดำเนินงาน!M45+งบดำเนินงาน!M21</f>
        <v>2708122.4899999998</v>
      </c>
      <c r="N19" s="201">
        <f t="shared" si="4"/>
        <v>55.452156045301628</v>
      </c>
      <c r="O19" s="201">
        <f>+งบดำเนินงาน!O45+งบดำเนินงาน!O21</f>
        <v>2175587.5100000002</v>
      </c>
      <c r="P19" s="201">
        <f t="shared" si="5"/>
        <v>44.547843954698379</v>
      </c>
      <c r="Q19" s="201">
        <f>+งบดำเนินงาน!Q45+งบดำเนินงาน!Q21</f>
        <v>4851987.51</v>
      </c>
      <c r="R19" s="201">
        <f t="shared" si="6"/>
        <v>64.178795149806021</v>
      </c>
      <c r="S19" s="239"/>
      <c r="T19" s="239"/>
    </row>
    <row r="20" spans="1:20" s="206" customFormat="1" hidden="1">
      <c r="A20" s="202"/>
      <c r="B20" s="169" t="s">
        <v>75</v>
      </c>
      <c r="C20" s="203">
        <f>+งบดำเนินงาน!C46+งบดำเนินงาน!C21</f>
        <v>7176110</v>
      </c>
      <c r="D20" s="203">
        <f>+งบดำเนินงาน!D46+งบดำเนินงาน!D21</f>
        <v>4499710</v>
      </c>
      <c r="E20" s="203">
        <f>+งบดำเนินงาน!E46+งบดำเนินงาน!E21</f>
        <v>0</v>
      </c>
      <c r="F20" s="203">
        <f t="shared" si="0"/>
        <v>0</v>
      </c>
      <c r="G20" s="203">
        <f>+งบดำเนินงาน!G46+งบดำเนินงาน!G21</f>
        <v>83202</v>
      </c>
      <c r="H20" s="203">
        <f t="shared" si="1"/>
        <v>1.8490524944940896</v>
      </c>
      <c r="I20" s="203">
        <f>+งบดำเนินงาน!I46+งบดำเนินงาน!I21</f>
        <v>82627.3</v>
      </c>
      <c r="J20" s="203">
        <f t="shared" si="2"/>
        <v>1.836280560302775</v>
      </c>
      <c r="K20" s="203">
        <f>+งบดำเนินงาน!K46+งบดำเนินงาน!K21</f>
        <v>2490823.19</v>
      </c>
      <c r="L20" s="203">
        <f t="shared" si="3"/>
        <v>55.355193779154654</v>
      </c>
      <c r="M20" s="203">
        <f>+งบดำเนินงาน!M46+งบดำเนินงาน!M21</f>
        <v>2656652.4899999998</v>
      </c>
      <c r="N20" s="203">
        <f t="shared" si="4"/>
        <v>59.040526833951517</v>
      </c>
      <c r="O20" s="203">
        <f>+งบดำเนินงาน!O46+งบดำเนินงาน!O21</f>
        <v>1843057.5100000002</v>
      </c>
      <c r="P20" s="203">
        <f t="shared" si="5"/>
        <v>40.959473166048483</v>
      </c>
      <c r="Q20" s="203">
        <f>+งบดำเนินงาน!Q46+งบดำเนินงาน!Q21</f>
        <v>4519457.51</v>
      </c>
      <c r="R20" s="203">
        <f t="shared" si="6"/>
        <v>62.979211717769097</v>
      </c>
      <c r="S20" s="239"/>
      <c r="T20" s="239"/>
    </row>
    <row r="21" spans="1:20" s="206" customFormat="1" hidden="1">
      <c r="A21" s="202"/>
      <c r="B21" s="169" t="s">
        <v>76</v>
      </c>
      <c r="C21" s="203">
        <f>+งบดำเนินงาน!C47</f>
        <v>384000</v>
      </c>
      <c r="D21" s="203">
        <f>+งบดำเนินงาน!D47</f>
        <v>384000</v>
      </c>
      <c r="E21" s="203">
        <f>+งบดำเนินงาน!E47</f>
        <v>0</v>
      </c>
      <c r="F21" s="203">
        <f t="shared" si="0"/>
        <v>0</v>
      </c>
      <c r="G21" s="203">
        <f>+งบดำเนินงาน!G47</f>
        <v>0</v>
      </c>
      <c r="H21" s="203">
        <f t="shared" si="1"/>
        <v>0</v>
      </c>
      <c r="I21" s="203">
        <f>+งบดำเนินงาน!I47</f>
        <v>0</v>
      </c>
      <c r="J21" s="203">
        <f t="shared" si="2"/>
        <v>0</v>
      </c>
      <c r="K21" s="203">
        <f>+งบดำเนินงาน!K47</f>
        <v>51470</v>
      </c>
      <c r="L21" s="203">
        <f t="shared" si="3"/>
        <v>13.403645833333334</v>
      </c>
      <c r="M21" s="203">
        <f>+งบดำเนินงาน!M47</f>
        <v>51470</v>
      </c>
      <c r="N21" s="203">
        <f t="shared" si="4"/>
        <v>13.403645833333334</v>
      </c>
      <c r="O21" s="203">
        <f>+งบดำเนินงาน!O47</f>
        <v>332530</v>
      </c>
      <c r="P21" s="203">
        <f t="shared" si="5"/>
        <v>86.596354166666671</v>
      </c>
      <c r="Q21" s="203">
        <f>+งบดำเนินงาน!Q47</f>
        <v>332530</v>
      </c>
      <c r="R21" s="203">
        <f t="shared" si="6"/>
        <v>86.596354166666671</v>
      </c>
      <c r="S21" s="239"/>
      <c r="T21" s="239"/>
    </row>
    <row r="22" spans="1:20" s="206" customFormat="1">
      <c r="A22" s="200">
        <v>5</v>
      </c>
      <c r="B22" s="168" t="s">
        <v>80</v>
      </c>
      <c r="C22" s="201">
        <f>+งบดำเนินงาน!C48+งบดำเนินงาน!C22</f>
        <v>701600</v>
      </c>
      <c r="D22" s="201">
        <f>+งบดำเนินงาน!D48+งบดำเนินงาน!D22</f>
        <v>350800</v>
      </c>
      <c r="E22" s="201">
        <f>+งบดำเนินงาน!E48+งบดำเนินงาน!E22</f>
        <v>0</v>
      </c>
      <c r="F22" s="201">
        <f t="shared" si="0"/>
        <v>0</v>
      </c>
      <c r="G22" s="201">
        <f>+งบดำเนินงาน!G48+งบดำเนินงาน!G22</f>
        <v>16800</v>
      </c>
      <c r="H22" s="201">
        <f t="shared" si="1"/>
        <v>4.7890535917901937</v>
      </c>
      <c r="I22" s="201">
        <f>+งบดำเนินงาน!I48+งบดำเนินงาน!I22</f>
        <v>0</v>
      </c>
      <c r="J22" s="201">
        <f t="shared" si="2"/>
        <v>0</v>
      </c>
      <c r="K22" s="201">
        <f>+งบดำเนินงาน!K48+งบดำเนินงาน!K22</f>
        <v>167715.90000000002</v>
      </c>
      <c r="L22" s="201">
        <f t="shared" si="3"/>
        <v>47.809549600912206</v>
      </c>
      <c r="M22" s="201">
        <f>+งบดำเนินงาน!M48+งบดำเนินงาน!M22</f>
        <v>184515.90000000002</v>
      </c>
      <c r="N22" s="201">
        <f t="shared" si="4"/>
        <v>52.598603192702406</v>
      </c>
      <c r="O22" s="201">
        <f>+งบดำเนินงาน!O48+งบดำเนินงาน!O22</f>
        <v>166284.09999999998</v>
      </c>
      <c r="P22" s="201">
        <f t="shared" si="5"/>
        <v>47.401396807297601</v>
      </c>
      <c r="Q22" s="201">
        <f>+งบดำเนินงาน!Q48+งบดำเนินงาน!Q22</f>
        <v>517084.1</v>
      </c>
      <c r="R22" s="201">
        <f t="shared" si="6"/>
        <v>73.700698403648801</v>
      </c>
      <c r="S22" s="239"/>
      <c r="T22" s="239"/>
    </row>
    <row r="23" spans="1:20" s="206" customFormat="1" hidden="1">
      <c r="A23" s="202"/>
      <c r="B23" s="169" t="s">
        <v>75</v>
      </c>
      <c r="C23" s="203">
        <f>+งบดำเนินงาน!C49+งบดำเนินงาน!C22</f>
        <v>701600</v>
      </c>
      <c r="D23" s="203">
        <f>+งบดำเนินงาน!D49+งบดำเนินงาน!D22</f>
        <v>350800</v>
      </c>
      <c r="E23" s="203">
        <f>+งบดำเนินงาน!E49+งบดำเนินงาน!E22</f>
        <v>0</v>
      </c>
      <c r="F23" s="203">
        <f t="shared" si="0"/>
        <v>0</v>
      </c>
      <c r="G23" s="203">
        <f>+งบดำเนินงาน!G49+งบดำเนินงาน!G22</f>
        <v>16800</v>
      </c>
      <c r="H23" s="203">
        <f t="shared" si="1"/>
        <v>4.7890535917901937</v>
      </c>
      <c r="I23" s="203">
        <f>+งบดำเนินงาน!I49+งบดำเนินงาน!I22</f>
        <v>0</v>
      </c>
      <c r="J23" s="203">
        <f t="shared" si="2"/>
        <v>0</v>
      </c>
      <c r="K23" s="203">
        <f>+งบดำเนินงาน!K49+งบดำเนินงาน!K22</f>
        <v>167715.90000000002</v>
      </c>
      <c r="L23" s="203">
        <f t="shared" si="3"/>
        <v>47.809549600912206</v>
      </c>
      <c r="M23" s="203">
        <f>+งบดำเนินงาน!M49+งบดำเนินงาน!M22</f>
        <v>184515.90000000002</v>
      </c>
      <c r="N23" s="203">
        <f t="shared" si="4"/>
        <v>52.598603192702406</v>
      </c>
      <c r="O23" s="203">
        <f>+งบดำเนินงาน!O49+งบดำเนินงาน!O22</f>
        <v>166284.09999999998</v>
      </c>
      <c r="P23" s="203">
        <f t="shared" si="5"/>
        <v>47.401396807297601</v>
      </c>
      <c r="Q23" s="203">
        <f>+งบดำเนินงาน!Q49+งบดำเนินงาน!Q22</f>
        <v>517084.1</v>
      </c>
      <c r="R23" s="203">
        <f t="shared" si="6"/>
        <v>73.700698403648801</v>
      </c>
      <c r="S23" s="239"/>
      <c r="T23" s="239"/>
    </row>
    <row r="24" spans="1:20" s="206" customFormat="1" hidden="1">
      <c r="A24" s="202"/>
      <c r="B24" s="169" t="s">
        <v>76</v>
      </c>
      <c r="C24" s="203">
        <f>+งบดำเนินงาน!C50</f>
        <v>0</v>
      </c>
      <c r="D24" s="203">
        <f>+งบดำเนินงาน!D50</f>
        <v>0</v>
      </c>
      <c r="E24" s="203">
        <f>+งบดำเนินงาน!E50</f>
        <v>0</v>
      </c>
      <c r="F24" s="203" t="e">
        <f t="shared" si="0"/>
        <v>#DIV/0!</v>
      </c>
      <c r="G24" s="203">
        <f>+งบดำเนินงาน!G50</f>
        <v>0</v>
      </c>
      <c r="H24" s="203" t="e">
        <f t="shared" si="1"/>
        <v>#DIV/0!</v>
      </c>
      <c r="I24" s="203">
        <f>+งบดำเนินงาน!I50</f>
        <v>0</v>
      </c>
      <c r="J24" s="203" t="e">
        <f t="shared" si="2"/>
        <v>#DIV/0!</v>
      </c>
      <c r="K24" s="203">
        <f>+งบดำเนินงาน!K50</f>
        <v>0</v>
      </c>
      <c r="L24" s="203" t="e">
        <f t="shared" si="3"/>
        <v>#DIV/0!</v>
      </c>
      <c r="M24" s="203">
        <f>+งบดำเนินงาน!M50</f>
        <v>0</v>
      </c>
      <c r="N24" s="203" t="e">
        <f t="shared" si="4"/>
        <v>#DIV/0!</v>
      </c>
      <c r="O24" s="203">
        <f>+งบดำเนินงาน!O50</f>
        <v>0</v>
      </c>
      <c r="P24" s="203" t="e">
        <f t="shared" si="5"/>
        <v>#DIV/0!</v>
      </c>
      <c r="Q24" s="203">
        <f>+งบดำเนินงาน!Q50</f>
        <v>0</v>
      </c>
      <c r="R24" s="203" t="e">
        <f t="shared" si="6"/>
        <v>#DIV/0!</v>
      </c>
      <c r="S24" s="239"/>
      <c r="T24" s="239"/>
    </row>
    <row r="25" spans="1:20" s="206" customFormat="1">
      <c r="A25" s="200">
        <v>6</v>
      </c>
      <c r="B25" s="168" t="s">
        <v>90</v>
      </c>
      <c r="C25" s="201">
        <f>+งบดำเนินงาน!C33+งบดำเนินงาน!C20+งบดำเนินงาน!C139</f>
        <v>13098020</v>
      </c>
      <c r="D25" s="201">
        <f>+งบดำเนินงาน!D33+งบดำเนินงาน!D20+งบดำเนินงาน!D139</f>
        <v>5984970</v>
      </c>
      <c r="E25" s="201">
        <f>+งบดำเนินงาน!E33+งบดำเนินงาน!E20+งบดำเนินงาน!E139</f>
        <v>0</v>
      </c>
      <c r="F25" s="201">
        <f t="shared" si="0"/>
        <v>0</v>
      </c>
      <c r="G25" s="201">
        <f>+งบดำเนินงาน!G33+งบดำเนินงาน!G20+งบดำเนินงาน!G139</f>
        <v>135595</v>
      </c>
      <c r="H25" s="201">
        <f t="shared" si="1"/>
        <v>2.2655919745629469</v>
      </c>
      <c r="I25" s="201">
        <f>+งบดำเนินงาน!I33+งบดำเนินงาน!I20+งบดำเนินงาน!I139</f>
        <v>0</v>
      </c>
      <c r="J25" s="201">
        <f t="shared" si="2"/>
        <v>0</v>
      </c>
      <c r="K25" s="201">
        <f>+งบดำเนินงาน!K33+งบดำเนินงาน!K20+งบดำเนินงาน!K139</f>
        <v>2763253.8899999997</v>
      </c>
      <c r="L25" s="201">
        <f t="shared" si="3"/>
        <v>46.169887067103083</v>
      </c>
      <c r="M25" s="201">
        <f>+งบดำเนินงาน!M33+งบดำเนินงาน!M20+งบดำเนินงาน!M139</f>
        <v>2898848.8899999997</v>
      </c>
      <c r="N25" s="201">
        <f t="shared" si="4"/>
        <v>48.435479041666028</v>
      </c>
      <c r="O25" s="201">
        <f>+งบดำเนินงาน!O33+งบดำเนินงาน!O20+งบดำเนินงาน!O139</f>
        <v>3086121.1100000003</v>
      </c>
      <c r="P25" s="201">
        <f t="shared" si="5"/>
        <v>51.564520958333972</v>
      </c>
      <c r="Q25" s="201">
        <f>+งบดำเนินงาน!Q33+งบดำเนินงาน!Q20+งบดำเนินงาน!Q139</f>
        <v>10199171.109999999</v>
      </c>
      <c r="R25" s="201">
        <f t="shared" ref="R25:R27" si="7">+Q25*100/C25</f>
        <v>77.868037382749449</v>
      </c>
      <c r="S25" s="239"/>
      <c r="T25" s="239"/>
    </row>
    <row r="26" spans="1:20" s="206" customFormat="1" hidden="1">
      <c r="A26" s="202"/>
      <c r="B26" s="169" t="s">
        <v>75</v>
      </c>
      <c r="C26" s="203">
        <f>+งบดำเนินงาน!C34+งบดำเนินงาน!C20+งบดำเนินงาน!C139</f>
        <v>13080520</v>
      </c>
      <c r="D26" s="203">
        <f>+งบดำเนินงาน!D34+งบดำเนินงาน!D20+งบดำเนินงาน!D139</f>
        <v>5967470</v>
      </c>
      <c r="E26" s="203">
        <f>+งบดำเนินงาน!E34+งบดำเนินงาน!E20+งบดำเนินงาน!E139</f>
        <v>0</v>
      </c>
      <c r="F26" s="203">
        <f t="shared" si="0"/>
        <v>0</v>
      </c>
      <c r="G26" s="203">
        <f>+งบดำเนินงาน!G34+งบดำเนินงาน!G20+งบดำเนินงาน!G139</f>
        <v>135595</v>
      </c>
      <c r="H26" s="203">
        <f t="shared" si="1"/>
        <v>2.2722359726986476</v>
      </c>
      <c r="I26" s="203">
        <f>+งบดำเนินงาน!I34+งบดำเนินงาน!I20+งบดำเนินงาน!I139</f>
        <v>0</v>
      </c>
      <c r="J26" s="203">
        <f t="shared" si="2"/>
        <v>0</v>
      </c>
      <c r="K26" s="203">
        <f>+งบดำเนินงาน!K34+งบดำเนินงาน!K20+งบดำเนินงาน!K139</f>
        <v>2763253.8899999997</v>
      </c>
      <c r="L26" s="203">
        <f t="shared" si="3"/>
        <v>46.305283311017895</v>
      </c>
      <c r="M26" s="203">
        <f>+งบดำเนินงาน!M34+งบดำเนินงาน!M20+งบดำเนินงาน!M139</f>
        <v>2898848.8899999997</v>
      </c>
      <c r="N26" s="203">
        <f t="shared" si="4"/>
        <v>48.577519283716541</v>
      </c>
      <c r="O26" s="203">
        <f>+งบดำเนินงาน!O34+งบดำเนินงาน!O20+งบดำเนินงาน!O139</f>
        <v>3068621.1100000003</v>
      </c>
      <c r="P26" s="203">
        <f t="shared" si="5"/>
        <v>51.422480716283459</v>
      </c>
      <c r="Q26" s="203">
        <f>+งบดำเนินงาน!Q34+งบดำเนินงาน!Q20+งบดำเนินงาน!Q139</f>
        <v>10181671.109999999</v>
      </c>
      <c r="R26" s="203">
        <f t="shared" si="7"/>
        <v>77.838427753636708</v>
      </c>
      <c r="S26" s="239"/>
      <c r="T26" s="239"/>
    </row>
    <row r="27" spans="1:20" s="206" customFormat="1" hidden="1">
      <c r="A27" s="202"/>
      <c r="B27" s="169" t="s">
        <v>76</v>
      </c>
      <c r="C27" s="203">
        <f>+งบดำเนินงาน!C35</f>
        <v>17500</v>
      </c>
      <c r="D27" s="203">
        <f>+งบดำเนินงาน!D35</f>
        <v>17500</v>
      </c>
      <c r="E27" s="203">
        <f>+งบดำเนินงาน!E35</f>
        <v>0</v>
      </c>
      <c r="F27" s="203">
        <f t="shared" si="0"/>
        <v>0</v>
      </c>
      <c r="G27" s="203">
        <f>+งบดำเนินงาน!G35</f>
        <v>0</v>
      </c>
      <c r="H27" s="203">
        <f t="shared" si="1"/>
        <v>0</v>
      </c>
      <c r="I27" s="203">
        <f>+งบดำเนินงาน!I35</f>
        <v>0</v>
      </c>
      <c r="J27" s="203">
        <f t="shared" si="2"/>
        <v>0</v>
      </c>
      <c r="K27" s="203">
        <f>+งบดำเนินงาน!K35</f>
        <v>0</v>
      </c>
      <c r="L27" s="203">
        <f t="shared" si="3"/>
        <v>0</v>
      </c>
      <c r="M27" s="203">
        <f>+งบดำเนินงาน!M35</f>
        <v>0</v>
      </c>
      <c r="N27" s="203">
        <f t="shared" si="4"/>
        <v>0</v>
      </c>
      <c r="O27" s="203">
        <f>+งบดำเนินงาน!O35</f>
        <v>17500</v>
      </c>
      <c r="P27" s="203">
        <f t="shared" si="5"/>
        <v>100</v>
      </c>
      <c r="Q27" s="203">
        <f>+งบดำเนินงาน!Q35</f>
        <v>17500</v>
      </c>
      <c r="R27" s="203">
        <f t="shared" si="7"/>
        <v>100</v>
      </c>
      <c r="S27" s="239"/>
      <c r="T27" s="239"/>
    </row>
    <row r="28" spans="1:20" s="206" customFormat="1">
      <c r="A28" s="200">
        <v>7</v>
      </c>
      <c r="B28" s="168" t="s">
        <v>200</v>
      </c>
      <c r="C28" s="201">
        <f>+งบดำเนินงาน!C51+งบดำเนินงาน!C12+งบดำเนินงาน!C13</f>
        <v>3385404</v>
      </c>
      <c r="D28" s="201">
        <f>+งบดำเนินงาน!D51+งบดำเนินงาน!D12+งบดำเนินงาน!D13</f>
        <v>2503254</v>
      </c>
      <c r="E28" s="201">
        <f>+งบดำเนินงาน!E51+งบดำเนินงาน!E12+งบดำเนินงาน!E13</f>
        <v>0</v>
      </c>
      <c r="F28" s="201">
        <f t="shared" si="0"/>
        <v>0</v>
      </c>
      <c r="G28" s="201">
        <f>+งบดำเนินงาน!G51+งบดำเนินงาน!G12+งบดำเนินงาน!G13</f>
        <v>4020</v>
      </c>
      <c r="H28" s="201">
        <f t="shared" si="1"/>
        <v>0.16059097478721696</v>
      </c>
      <c r="I28" s="201">
        <f>+งบดำเนินงาน!I51+งบดำเนินงาน!I12+งบดำเนินงาน!I13</f>
        <v>0</v>
      </c>
      <c r="J28" s="201">
        <f t="shared" si="2"/>
        <v>0</v>
      </c>
      <c r="K28" s="201">
        <f>+งบดำเนินงาน!K51+งบดำเนินงาน!K12+งบดำเนินงาน!K13</f>
        <v>1133530.56</v>
      </c>
      <c r="L28" s="201">
        <f t="shared" si="3"/>
        <v>45.282282980472615</v>
      </c>
      <c r="M28" s="201">
        <f>+งบดำเนินงาน!M51+งบดำเนินงาน!M12+งบดำเนินงาน!M13</f>
        <v>1137550.56</v>
      </c>
      <c r="N28" s="201">
        <f t="shared" si="4"/>
        <v>45.442873955259834</v>
      </c>
      <c r="O28" s="201">
        <f>+งบดำเนินงาน!O51+งบดำเนินงาน!O12+งบดำเนินงาน!O13</f>
        <v>1365703.44</v>
      </c>
      <c r="P28" s="201">
        <f t="shared" si="5"/>
        <v>54.557126044740166</v>
      </c>
      <c r="Q28" s="201">
        <f>+งบดำเนินงาน!Q51+งบดำเนินงาน!Q12+งบดำเนินงาน!Q13</f>
        <v>2247853.44</v>
      </c>
      <c r="R28" s="201">
        <f>+Q28*100/C28</f>
        <v>66.398380813634063</v>
      </c>
      <c r="S28" s="239"/>
      <c r="T28" s="239"/>
    </row>
    <row r="29" spans="1:20" s="206" customFormat="1" hidden="1">
      <c r="A29" s="202"/>
      <c r="B29" s="169" t="s">
        <v>87</v>
      </c>
      <c r="C29" s="203">
        <f>+งบดำเนินงาน!C52+งบดำเนินงาน!C12</f>
        <v>2468624</v>
      </c>
      <c r="D29" s="203">
        <f>+งบดำเนินงาน!D52+งบดำเนินงาน!D12</f>
        <v>1855624</v>
      </c>
      <c r="E29" s="203">
        <f>+งบดำเนินงาน!E52+งบดำเนินงาน!E12</f>
        <v>0</v>
      </c>
      <c r="F29" s="203">
        <f t="shared" ref="F29:F77" si="8">+E29*100/$D29</f>
        <v>0</v>
      </c>
      <c r="G29" s="203">
        <f>+งบดำเนินงาน!G52+งบดำเนินงาน!G12</f>
        <v>0</v>
      </c>
      <c r="H29" s="203">
        <f t="shared" ref="H29:H74" si="9">+G29*100/$D29</f>
        <v>0</v>
      </c>
      <c r="I29" s="203">
        <f>+งบดำเนินงาน!I52+งบดำเนินงาน!I12</f>
        <v>0</v>
      </c>
      <c r="J29" s="203">
        <f t="shared" ref="J29:J74" si="10">+I29*100/$D29</f>
        <v>0</v>
      </c>
      <c r="K29" s="203">
        <f>+งบดำเนินงาน!K52+งบดำเนินงาน!K12</f>
        <v>839092.51</v>
      </c>
      <c r="L29" s="203">
        <f t="shared" ref="L29:L74" si="11">+K29*100/$D29</f>
        <v>45.218886477001803</v>
      </c>
      <c r="M29" s="203">
        <f>+งบดำเนินงาน!M52+งบดำเนินงาน!M12</f>
        <v>839092.51</v>
      </c>
      <c r="N29" s="203">
        <f t="shared" ref="N29:N74" si="12">+M29*100/$D29</f>
        <v>45.218886477001803</v>
      </c>
      <c r="O29" s="203">
        <f>+งบดำเนินงาน!O52+งบดำเนินงาน!O12</f>
        <v>1016531.49</v>
      </c>
      <c r="P29" s="203">
        <f t="shared" ref="P29:P74" si="13">+O29*100/$D29</f>
        <v>54.781113522998197</v>
      </c>
      <c r="Q29" s="203">
        <f>+งบดำเนินงาน!Q52+งบดำเนินงาน!Q12</f>
        <v>1629531.49</v>
      </c>
      <c r="R29" s="203">
        <f t="shared" ref="R29:R74" si="14">+Q29*100/C29</f>
        <v>66.009707837240498</v>
      </c>
      <c r="S29" s="239"/>
      <c r="T29" s="239"/>
    </row>
    <row r="30" spans="1:20" s="206" customFormat="1" hidden="1">
      <c r="A30" s="202"/>
      <c r="B30" s="169" t="s">
        <v>75</v>
      </c>
      <c r="C30" s="203">
        <f>+งบดำเนินงาน!C53+งบดำเนินงาน!C12</f>
        <v>2042124</v>
      </c>
      <c r="D30" s="203">
        <f>+งบดำเนินงาน!D53+งบดำเนินงาน!D12</f>
        <v>1429124</v>
      </c>
      <c r="E30" s="203">
        <f>+งบดำเนินงาน!E53+งบดำเนินงาน!E12</f>
        <v>0</v>
      </c>
      <c r="F30" s="203">
        <f t="shared" si="8"/>
        <v>0</v>
      </c>
      <c r="G30" s="203">
        <f>+งบดำเนินงาน!G53+งบดำเนินงาน!G12</f>
        <v>0</v>
      </c>
      <c r="H30" s="203">
        <f t="shared" si="9"/>
        <v>0</v>
      </c>
      <c r="I30" s="203">
        <f>+งบดำเนินงาน!I53+งบดำเนินงาน!I12</f>
        <v>0</v>
      </c>
      <c r="J30" s="203">
        <f t="shared" si="10"/>
        <v>0</v>
      </c>
      <c r="K30" s="203">
        <f>+งบดำเนินงาน!K53+งบดำเนินงาน!K12</f>
        <v>839092.51</v>
      </c>
      <c r="L30" s="203">
        <f t="shared" si="11"/>
        <v>58.7137652156146</v>
      </c>
      <c r="M30" s="203">
        <f>+งบดำเนินงาน!M53+งบดำเนินงาน!M12</f>
        <v>839092.51</v>
      </c>
      <c r="N30" s="203">
        <f t="shared" si="12"/>
        <v>58.7137652156146</v>
      </c>
      <c r="O30" s="203">
        <f>+งบดำเนินงาน!O53+งบดำเนินงาน!O12</f>
        <v>590031.49</v>
      </c>
      <c r="P30" s="203">
        <f t="shared" si="13"/>
        <v>41.2862347843854</v>
      </c>
      <c r="Q30" s="203">
        <f>+งบดำเนินงาน!Q53+งบดำเนินงาน!Q12</f>
        <v>1203031.49</v>
      </c>
      <c r="R30" s="203">
        <f t="shared" si="14"/>
        <v>58.910795328785127</v>
      </c>
      <c r="S30" s="239"/>
      <c r="T30" s="239"/>
    </row>
    <row r="31" spans="1:20" s="206" customFormat="1" hidden="1">
      <c r="A31" s="202"/>
      <c r="B31" s="169" t="s">
        <v>76</v>
      </c>
      <c r="C31" s="203">
        <f>+งบดำเนินงาน!C54</f>
        <v>426500</v>
      </c>
      <c r="D31" s="203">
        <f>+งบดำเนินงาน!D54</f>
        <v>426500</v>
      </c>
      <c r="E31" s="203">
        <f>+งบดำเนินงาน!E54</f>
        <v>0</v>
      </c>
      <c r="F31" s="203">
        <f t="shared" si="8"/>
        <v>0</v>
      </c>
      <c r="G31" s="203">
        <f>+งบดำเนินงาน!G54</f>
        <v>0</v>
      </c>
      <c r="H31" s="203">
        <f t="shared" si="9"/>
        <v>0</v>
      </c>
      <c r="I31" s="203">
        <f>+งบดำเนินงาน!I54</f>
        <v>0</v>
      </c>
      <c r="J31" s="203">
        <f t="shared" si="10"/>
        <v>0</v>
      </c>
      <c r="K31" s="203">
        <f>+งบดำเนินงาน!K54</f>
        <v>0</v>
      </c>
      <c r="L31" s="203">
        <f t="shared" si="11"/>
        <v>0</v>
      </c>
      <c r="M31" s="203">
        <f>+งบดำเนินงาน!M54</f>
        <v>0</v>
      </c>
      <c r="N31" s="203">
        <f t="shared" si="12"/>
        <v>0</v>
      </c>
      <c r="O31" s="203">
        <f>+งบดำเนินงาน!O54</f>
        <v>426500</v>
      </c>
      <c r="P31" s="203">
        <f t="shared" si="13"/>
        <v>100</v>
      </c>
      <c r="Q31" s="203">
        <f>+งบดำเนินงาน!Q54</f>
        <v>426500</v>
      </c>
      <c r="R31" s="203">
        <f t="shared" si="14"/>
        <v>100</v>
      </c>
      <c r="S31" s="239"/>
      <c r="T31" s="239"/>
    </row>
    <row r="32" spans="1:20" s="206" customFormat="1" hidden="1">
      <c r="A32" s="202"/>
      <c r="B32" s="169" t="s">
        <v>88</v>
      </c>
      <c r="C32" s="203">
        <f>+งบดำเนินงาน!C55+งบดำเนินงาน!C13</f>
        <v>916780</v>
      </c>
      <c r="D32" s="203">
        <f>+งบดำเนินงาน!D55+งบดำเนินงาน!D13</f>
        <v>647630</v>
      </c>
      <c r="E32" s="203">
        <f>+งบดำเนินงาน!E55+งบดำเนินงาน!E13</f>
        <v>0</v>
      </c>
      <c r="F32" s="203">
        <f t="shared" si="8"/>
        <v>0</v>
      </c>
      <c r="G32" s="203">
        <f>+งบดำเนินงาน!G55+งบดำเนินงาน!G13</f>
        <v>4020</v>
      </c>
      <c r="H32" s="203">
        <f t="shared" si="9"/>
        <v>0.62072479656594048</v>
      </c>
      <c r="I32" s="203">
        <f>+งบดำเนินงาน!I55+งบดำเนินงาน!I13</f>
        <v>0</v>
      </c>
      <c r="J32" s="203">
        <f t="shared" si="10"/>
        <v>0</v>
      </c>
      <c r="K32" s="203">
        <f>+งบดำเนินงาน!K55+งบดำเนินงาน!K13</f>
        <v>294438.05000000005</v>
      </c>
      <c r="L32" s="203">
        <f t="shared" si="11"/>
        <v>45.463930021771695</v>
      </c>
      <c r="M32" s="203">
        <f>+งบดำเนินงาน!M55+งบดำเนินงาน!M13</f>
        <v>298458.05000000005</v>
      </c>
      <c r="N32" s="203">
        <f t="shared" si="12"/>
        <v>46.08465481833764</v>
      </c>
      <c r="O32" s="203">
        <f>+งบดำเนินงาน!O55+งบดำเนินงาน!O13</f>
        <v>349171.94999999995</v>
      </c>
      <c r="P32" s="203">
        <f t="shared" si="13"/>
        <v>53.91534518166236</v>
      </c>
      <c r="Q32" s="203">
        <f>+งบดำเนินงาน!Q55+งบดำเนินงาน!Q13</f>
        <v>618321.94999999995</v>
      </c>
      <c r="R32" s="203">
        <f t="shared" si="14"/>
        <v>67.444964986147156</v>
      </c>
      <c r="S32" s="239"/>
      <c r="T32" s="239"/>
    </row>
    <row r="33" spans="1:20" s="206" customFormat="1" hidden="1">
      <c r="A33" s="202"/>
      <c r="B33" s="169" t="s">
        <v>75</v>
      </c>
      <c r="C33" s="203">
        <f>+งบดำเนินงาน!C56+งบดำเนินงาน!C13</f>
        <v>813780</v>
      </c>
      <c r="D33" s="203">
        <f>+งบดำเนินงาน!D56+งบดำเนินงาน!D13</f>
        <v>544630</v>
      </c>
      <c r="E33" s="203">
        <f>+งบดำเนินงาน!E56+งบดำเนินงาน!E13</f>
        <v>0</v>
      </c>
      <c r="F33" s="203">
        <f t="shared" si="8"/>
        <v>0</v>
      </c>
      <c r="G33" s="203">
        <f>+งบดำเนินงาน!G56+งบดำเนินงาน!G13</f>
        <v>4020</v>
      </c>
      <c r="H33" s="203">
        <f t="shared" si="9"/>
        <v>0.73811578502836783</v>
      </c>
      <c r="I33" s="203">
        <f>+งบดำเนินงาน!I56+งบดำเนินงาน!I13</f>
        <v>0</v>
      </c>
      <c r="J33" s="203">
        <f t="shared" si="10"/>
        <v>0</v>
      </c>
      <c r="K33" s="203">
        <f>+งบดำเนินงาน!K56+งบดำเนินงาน!K13</f>
        <v>294438.05000000005</v>
      </c>
      <c r="L33" s="203">
        <f t="shared" si="11"/>
        <v>54.062032939793994</v>
      </c>
      <c r="M33" s="203">
        <f>+งบดำเนินงาน!M56+งบดำเนินงาน!M13</f>
        <v>298458.05000000005</v>
      </c>
      <c r="N33" s="203">
        <f t="shared" si="12"/>
        <v>54.800148724822364</v>
      </c>
      <c r="O33" s="203">
        <f>+งบดำเนินงาน!O56+งบดำเนินงาน!O13</f>
        <v>246171.94999999995</v>
      </c>
      <c r="P33" s="203">
        <f t="shared" si="13"/>
        <v>45.199851275177636</v>
      </c>
      <c r="Q33" s="203">
        <f>+งบดำเนินงาน!Q56+งบดำเนินงาน!Q13</f>
        <v>515321.94999999995</v>
      </c>
      <c r="R33" s="203">
        <f t="shared" si="14"/>
        <v>63.324479589078123</v>
      </c>
      <c r="S33" s="239"/>
      <c r="T33" s="239"/>
    </row>
    <row r="34" spans="1:20" s="206" customFormat="1" hidden="1">
      <c r="A34" s="202"/>
      <c r="B34" s="169" t="s">
        <v>76</v>
      </c>
      <c r="C34" s="203">
        <f>+งบดำเนินงาน!C57</f>
        <v>103000</v>
      </c>
      <c r="D34" s="203">
        <f>+งบดำเนินงาน!D57</f>
        <v>103000</v>
      </c>
      <c r="E34" s="203">
        <f>+งบดำเนินงาน!E57</f>
        <v>0</v>
      </c>
      <c r="F34" s="203">
        <f t="shared" si="8"/>
        <v>0</v>
      </c>
      <c r="G34" s="203">
        <f>+งบดำเนินงาน!G57</f>
        <v>0</v>
      </c>
      <c r="H34" s="203">
        <f t="shared" si="9"/>
        <v>0</v>
      </c>
      <c r="I34" s="203">
        <f>+งบดำเนินงาน!I57</f>
        <v>0</v>
      </c>
      <c r="J34" s="203">
        <f t="shared" si="10"/>
        <v>0</v>
      </c>
      <c r="K34" s="203">
        <f>+งบดำเนินงาน!K57</f>
        <v>0</v>
      </c>
      <c r="L34" s="203">
        <f t="shared" si="11"/>
        <v>0</v>
      </c>
      <c r="M34" s="203">
        <f>+งบดำเนินงาน!M57</f>
        <v>0</v>
      </c>
      <c r="N34" s="203">
        <f t="shared" si="12"/>
        <v>0</v>
      </c>
      <c r="O34" s="203">
        <f>+งบดำเนินงาน!O57</f>
        <v>103000</v>
      </c>
      <c r="P34" s="203">
        <f t="shared" si="13"/>
        <v>100</v>
      </c>
      <c r="Q34" s="203">
        <f>+งบดำเนินงาน!Q57</f>
        <v>103000</v>
      </c>
      <c r="R34" s="203">
        <f t="shared" si="14"/>
        <v>100</v>
      </c>
      <c r="S34" s="239"/>
      <c r="T34" s="239"/>
    </row>
    <row r="35" spans="1:20" s="206" customFormat="1">
      <c r="A35" s="200">
        <v>8</v>
      </c>
      <c r="B35" s="168" t="s">
        <v>77</v>
      </c>
      <c r="C35" s="201">
        <f>+งบดำเนินงาน!C64</f>
        <v>6228660</v>
      </c>
      <c r="D35" s="201">
        <f>+งบดำเนินงาน!D64</f>
        <v>3030210</v>
      </c>
      <c r="E35" s="201">
        <f>+งบดำเนินงาน!E64</f>
        <v>0</v>
      </c>
      <c r="F35" s="201">
        <f>+E35*100/$D35</f>
        <v>0</v>
      </c>
      <c r="G35" s="201">
        <f>+งบดำเนินงาน!G64</f>
        <v>3885</v>
      </c>
      <c r="H35" s="201">
        <f>+G35*100/$D35</f>
        <v>0.12820893601433564</v>
      </c>
      <c r="I35" s="201">
        <f>+งบดำเนินงาน!I64</f>
        <v>199648</v>
      </c>
      <c r="J35" s="201">
        <f>+I35*100/$D35</f>
        <v>6.5885862695984763</v>
      </c>
      <c r="K35" s="201">
        <f>+งบดำเนินงาน!K64</f>
        <v>1249987.27</v>
      </c>
      <c r="L35" s="201">
        <f>+K35*100/$D35</f>
        <v>41.25084631098175</v>
      </c>
      <c r="M35" s="201">
        <f>+งบดำเนินงาน!M64</f>
        <v>1453520.27</v>
      </c>
      <c r="N35" s="201">
        <f>+M35*100/$D35</f>
        <v>47.967641516594561</v>
      </c>
      <c r="O35" s="201">
        <f>+งบดำเนินงาน!O64</f>
        <v>1576689.73</v>
      </c>
      <c r="P35" s="201">
        <f>+O35*100/$D35</f>
        <v>52.032358483405439</v>
      </c>
      <c r="Q35" s="201">
        <f>+งบดำเนินงาน!Q64</f>
        <v>4775139.7300000004</v>
      </c>
      <c r="R35" s="201">
        <f>+Q35*100/C35</f>
        <v>76.663997232149455</v>
      </c>
      <c r="S35" s="239"/>
      <c r="T35" s="239"/>
    </row>
    <row r="36" spans="1:20" s="206" customFormat="1" hidden="1">
      <c r="A36" s="202"/>
      <c r="B36" s="169" t="s">
        <v>75</v>
      </c>
      <c r="C36" s="203">
        <f>+งบดำเนินงาน!C65</f>
        <v>6228660</v>
      </c>
      <c r="D36" s="203">
        <f>+งบดำเนินงาน!D65</f>
        <v>3030210</v>
      </c>
      <c r="E36" s="203">
        <f>+งบดำเนินงาน!E65</f>
        <v>0</v>
      </c>
      <c r="F36" s="203">
        <f>+E36*100/$D36</f>
        <v>0</v>
      </c>
      <c r="G36" s="203">
        <f>+งบดำเนินงาน!G65</f>
        <v>3885</v>
      </c>
      <c r="H36" s="203">
        <f>+G36*100/$D36</f>
        <v>0.12820893601433564</v>
      </c>
      <c r="I36" s="203">
        <f>+งบดำเนินงาน!I65</f>
        <v>199648</v>
      </c>
      <c r="J36" s="203">
        <f>+I36*100/$D36</f>
        <v>6.5885862695984763</v>
      </c>
      <c r="K36" s="203">
        <f>+งบดำเนินงาน!K65</f>
        <v>1249987.27</v>
      </c>
      <c r="L36" s="203">
        <f>+K36*100/$D36</f>
        <v>41.25084631098175</v>
      </c>
      <c r="M36" s="203">
        <f>+งบดำเนินงาน!M65</f>
        <v>1453520.27</v>
      </c>
      <c r="N36" s="203">
        <f>+M36*100/$D36</f>
        <v>47.967641516594561</v>
      </c>
      <c r="O36" s="203">
        <f>+งบดำเนินงาน!O65</f>
        <v>1576689.73</v>
      </c>
      <c r="P36" s="203">
        <f>+O36*100/$D36</f>
        <v>52.032358483405439</v>
      </c>
      <c r="Q36" s="203">
        <f>+งบดำเนินงาน!Q65</f>
        <v>4775139.7300000004</v>
      </c>
      <c r="R36" s="203">
        <f>+Q36*100/C36</f>
        <v>76.663997232149455</v>
      </c>
      <c r="S36" s="239"/>
      <c r="T36" s="239"/>
    </row>
    <row r="37" spans="1:20" s="206" customFormat="1" hidden="1">
      <c r="A37" s="202"/>
      <c r="B37" s="169" t="s">
        <v>76</v>
      </c>
      <c r="C37" s="203">
        <f>+งบดำเนินงาน!C66</f>
        <v>0</v>
      </c>
      <c r="D37" s="203">
        <f>+งบดำเนินงาน!D66</f>
        <v>0</v>
      </c>
      <c r="E37" s="203">
        <f>+งบดำเนินงาน!E66</f>
        <v>0</v>
      </c>
      <c r="F37" s="203" t="e">
        <f>+E37*100/$D37</f>
        <v>#DIV/0!</v>
      </c>
      <c r="G37" s="203">
        <f>+งบดำเนินงาน!G66</f>
        <v>0</v>
      </c>
      <c r="H37" s="203" t="e">
        <f>+G37*100/$D37</f>
        <v>#DIV/0!</v>
      </c>
      <c r="I37" s="203">
        <f>+งบดำเนินงาน!I66</f>
        <v>0</v>
      </c>
      <c r="J37" s="203" t="e">
        <f>+I37*100/$D37</f>
        <v>#DIV/0!</v>
      </c>
      <c r="K37" s="203">
        <f>+งบดำเนินงาน!K66</f>
        <v>0</v>
      </c>
      <c r="L37" s="203" t="e">
        <f>+K37*100/$D37</f>
        <v>#DIV/0!</v>
      </c>
      <c r="M37" s="203">
        <f>+งบดำเนินงาน!M66</f>
        <v>0</v>
      </c>
      <c r="N37" s="203" t="e">
        <f>+M37*100/$D37</f>
        <v>#DIV/0!</v>
      </c>
      <c r="O37" s="203">
        <f>+งบดำเนินงาน!O66</f>
        <v>0</v>
      </c>
      <c r="P37" s="203" t="e">
        <f>+O37*100/$D37</f>
        <v>#DIV/0!</v>
      </c>
      <c r="Q37" s="203">
        <f>+งบดำเนินงาน!Q66</f>
        <v>0</v>
      </c>
      <c r="R37" s="203" t="e">
        <f>+Q37*100/C37</f>
        <v>#DIV/0!</v>
      </c>
      <c r="S37" s="239"/>
      <c r="T37" s="239"/>
    </row>
    <row r="38" spans="1:20" s="206" customFormat="1">
      <c r="A38" s="200">
        <v>9</v>
      </c>
      <c r="B38" s="168" t="s">
        <v>81</v>
      </c>
      <c r="C38" s="201">
        <f>+งบดำเนินงาน!C67+งบดำเนินงาน!C18</f>
        <v>2997480</v>
      </c>
      <c r="D38" s="201">
        <f>+งบดำเนินงาน!D67+งบดำเนินงาน!D18</f>
        <v>1973780</v>
      </c>
      <c r="E38" s="201">
        <f>+งบดำเนินงาน!E67+งบดำเนินงาน!E18</f>
        <v>0</v>
      </c>
      <c r="F38" s="201">
        <f t="shared" si="8"/>
        <v>0</v>
      </c>
      <c r="G38" s="201">
        <f>+งบดำเนินงาน!G67+งบดำเนินงาน!G18</f>
        <v>47340</v>
      </c>
      <c r="H38" s="201">
        <f t="shared" si="9"/>
        <v>2.3984435955374965</v>
      </c>
      <c r="I38" s="201">
        <f>+งบดำเนินงาน!I67+งบดำเนินงาน!I18</f>
        <v>32027.05</v>
      </c>
      <c r="J38" s="201">
        <f t="shared" si="10"/>
        <v>1.6226251152610727</v>
      </c>
      <c r="K38" s="201">
        <f>+งบดำเนินงาน!K67+งบดำเนินงาน!K18</f>
        <v>760880</v>
      </c>
      <c r="L38" s="201">
        <f t="shared" si="11"/>
        <v>38.549382403307362</v>
      </c>
      <c r="M38" s="201">
        <f>+งบดำเนินงาน!M67+งบดำเนินงาน!M18</f>
        <v>840247.05</v>
      </c>
      <c r="N38" s="201">
        <f t="shared" si="12"/>
        <v>42.570451114105929</v>
      </c>
      <c r="O38" s="201">
        <f>+งบดำเนินงาน!O67+งบดำเนินงาน!O18</f>
        <v>1133532.95</v>
      </c>
      <c r="P38" s="201">
        <f t="shared" si="13"/>
        <v>57.429548885894071</v>
      </c>
      <c r="Q38" s="201">
        <f>+งบดำเนินงาน!Q67+งบดำเนินงาน!Q18</f>
        <v>2157232.9500000002</v>
      </c>
      <c r="R38" s="201">
        <f t="shared" si="14"/>
        <v>71.96821830337484</v>
      </c>
      <c r="S38" s="239"/>
      <c r="T38" s="239"/>
    </row>
    <row r="39" spans="1:20" s="206" customFormat="1" hidden="1">
      <c r="A39" s="202"/>
      <c r="B39" s="169" t="s">
        <v>75</v>
      </c>
      <c r="C39" s="203">
        <f>+งบดำเนินงาน!C68+งบดำเนินงาน!C18</f>
        <v>2614980</v>
      </c>
      <c r="D39" s="203">
        <f>+งบดำเนินงาน!D68+งบดำเนินงาน!D18</f>
        <v>1591280</v>
      </c>
      <c r="E39" s="203">
        <f>+งบดำเนินงาน!E68+งบดำเนินงาน!E18</f>
        <v>0</v>
      </c>
      <c r="F39" s="203">
        <f t="shared" si="8"/>
        <v>0</v>
      </c>
      <c r="G39" s="203">
        <f>+งบดำเนินงาน!G68+งบดำเนินงาน!G18</f>
        <v>47340</v>
      </c>
      <c r="H39" s="203">
        <f t="shared" si="9"/>
        <v>2.9749635513548842</v>
      </c>
      <c r="I39" s="203">
        <f>+งบดำเนินงาน!I68+งบดำเนินงาน!I18</f>
        <v>32027.05</v>
      </c>
      <c r="J39" s="203">
        <f t="shared" si="10"/>
        <v>2.0126596199286109</v>
      </c>
      <c r="K39" s="203">
        <f>+งบดำเนินงาน!K68+งบดำเนินงาน!K18</f>
        <v>760880</v>
      </c>
      <c r="L39" s="203">
        <f t="shared" si="11"/>
        <v>47.815594992710274</v>
      </c>
      <c r="M39" s="203">
        <f>+งบดำเนินงาน!M68+งบดำเนินงาน!M18</f>
        <v>840247.05</v>
      </c>
      <c r="N39" s="203">
        <f t="shared" si="12"/>
        <v>52.803218163993769</v>
      </c>
      <c r="O39" s="203">
        <f>+งบดำเนินงาน!O68+งบดำเนินงาน!O18</f>
        <v>751032.95</v>
      </c>
      <c r="P39" s="203">
        <f t="shared" si="13"/>
        <v>47.196781836006231</v>
      </c>
      <c r="Q39" s="203">
        <f>+งบดำเนินงาน!Q68+งบดำเนินงาน!Q18</f>
        <v>1774732.95</v>
      </c>
      <c r="R39" s="203">
        <f t="shared" si="14"/>
        <v>67.867935892435128</v>
      </c>
      <c r="S39" s="239"/>
      <c r="T39" s="239"/>
    </row>
    <row r="40" spans="1:20" s="206" customFormat="1" hidden="1">
      <c r="A40" s="202"/>
      <c r="B40" s="169" t="s">
        <v>76</v>
      </c>
      <c r="C40" s="203">
        <f>+งบดำเนินงาน!C69</f>
        <v>382500</v>
      </c>
      <c r="D40" s="203">
        <f>+งบดำเนินงาน!D69</f>
        <v>382500</v>
      </c>
      <c r="E40" s="203">
        <f>+งบดำเนินงาน!E69</f>
        <v>0</v>
      </c>
      <c r="F40" s="203">
        <f t="shared" si="8"/>
        <v>0</v>
      </c>
      <c r="G40" s="203">
        <f>+งบดำเนินงาน!G69</f>
        <v>0</v>
      </c>
      <c r="H40" s="203">
        <f t="shared" si="9"/>
        <v>0</v>
      </c>
      <c r="I40" s="203">
        <f>+งบดำเนินงาน!I69</f>
        <v>0</v>
      </c>
      <c r="J40" s="203">
        <f t="shared" si="10"/>
        <v>0</v>
      </c>
      <c r="K40" s="203">
        <f>+งบดำเนินงาน!K69</f>
        <v>0</v>
      </c>
      <c r="L40" s="203">
        <f t="shared" si="11"/>
        <v>0</v>
      </c>
      <c r="M40" s="203">
        <f>+งบดำเนินงาน!M69</f>
        <v>0</v>
      </c>
      <c r="N40" s="203">
        <f t="shared" si="12"/>
        <v>0</v>
      </c>
      <c r="O40" s="203">
        <f>+งบดำเนินงาน!O69</f>
        <v>382500</v>
      </c>
      <c r="P40" s="203">
        <f t="shared" si="13"/>
        <v>100</v>
      </c>
      <c r="Q40" s="203">
        <f>+งบดำเนินงาน!Q69</f>
        <v>382500</v>
      </c>
      <c r="R40" s="203">
        <f t="shared" si="14"/>
        <v>100</v>
      </c>
      <c r="S40" s="239"/>
      <c r="T40" s="239"/>
    </row>
    <row r="41" spans="1:20" s="206" customFormat="1">
      <c r="A41" s="200">
        <v>10</v>
      </c>
      <c r="B41" s="168" t="s">
        <v>83</v>
      </c>
      <c r="C41" s="201">
        <f>+งบดำเนินงาน!C70+งบดำเนินงาน!C16</f>
        <v>2322460</v>
      </c>
      <c r="D41" s="201">
        <f>+งบดำเนินงาน!D70+งบดำเนินงาน!D16</f>
        <v>1303710</v>
      </c>
      <c r="E41" s="201">
        <f>+งบดำเนินงาน!E70+งบดำเนินงาน!E16</f>
        <v>0</v>
      </c>
      <c r="F41" s="201">
        <f t="shared" ref="F41:F43" si="15">+E41*100/$D41</f>
        <v>0</v>
      </c>
      <c r="G41" s="201">
        <f>+งบดำเนินงาน!G70+งบดำเนินงาน!G16</f>
        <v>1787</v>
      </c>
      <c r="H41" s="201">
        <f t="shared" ref="H41:H43" si="16">+G41*100/$D41</f>
        <v>0.13707036073973505</v>
      </c>
      <c r="I41" s="201">
        <f>+งบดำเนินงาน!I70+งบดำเนินงาน!I16</f>
        <v>0</v>
      </c>
      <c r="J41" s="201">
        <f t="shared" ref="J41:J43" si="17">+I41*100/$D41</f>
        <v>0</v>
      </c>
      <c r="K41" s="201">
        <f>+งบดำเนินงาน!K70+งบดำเนินงาน!K16</f>
        <v>502285.64</v>
      </c>
      <c r="L41" s="201">
        <f t="shared" ref="L41:L43" si="18">+K41*100/$D41</f>
        <v>38.527405634688698</v>
      </c>
      <c r="M41" s="201">
        <f>+งบดำเนินงาน!M70+งบดำเนินงาน!M16</f>
        <v>504072.64</v>
      </c>
      <c r="N41" s="201">
        <f t="shared" ref="N41:N43" si="19">+M41*100/$D41</f>
        <v>38.664475995428432</v>
      </c>
      <c r="O41" s="201">
        <f>+งบดำเนินงาน!O70+งบดำเนินงาน!O16</f>
        <v>799637.36</v>
      </c>
      <c r="P41" s="201">
        <f t="shared" ref="P41:P43" si="20">+O41*100/$D41</f>
        <v>61.335524004571568</v>
      </c>
      <c r="Q41" s="201">
        <f>+งบดำเนินงาน!Q70+งบดำเนินงาน!Q16</f>
        <v>1818387.3599999999</v>
      </c>
      <c r="R41" s="201">
        <f t="shared" ref="R41:R43" si="21">+Q41*100/C41</f>
        <v>78.29574502897789</v>
      </c>
      <c r="S41" s="239"/>
      <c r="T41" s="239"/>
    </row>
    <row r="42" spans="1:20" s="206" customFormat="1" hidden="1">
      <c r="A42" s="202"/>
      <c r="B42" s="169" t="s">
        <v>75</v>
      </c>
      <c r="C42" s="203">
        <f>+งบดำเนินงาน!C71+งบดำเนินงาน!C16</f>
        <v>2322460</v>
      </c>
      <c r="D42" s="203">
        <f>+งบดำเนินงาน!D71+งบดำเนินงาน!D16</f>
        <v>1303710</v>
      </c>
      <c r="E42" s="203">
        <f>+งบดำเนินงาน!E71+งบดำเนินงาน!E16</f>
        <v>0</v>
      </c>
      <c r="F42" s="203">
        <f t="shared" si="15"/>
        <v>0</v>
      </c>
      <c r="G42" s="203">
        <f>+งบดำเนินงาน!G71+งบดำเนินงาน!G16</f>
        <v>1787</v>
      </c>
      <c r="H42" s="203">
        <f t="shared" si="16"/>
        <v>0.13707036073973505</v>
      </c>
      <c r="I42" s="203">
        <f>+งบดำเนินงาน!I71+งบดำเนินงาน!I16</f>
        <v>0</v>
      </c>
      <c r="J42" s="203">
        <f t="shared" si="17"/>
        <v>0</v>
      </c>
      <c r="K42" s="203">
        <f>+งบดำเนินงาน!K71+งบดำเนินงาน!K16</f>
        <v>502285.64</v>
      </c>
      <c r="L42" s="203">
        <f t="shared" si="18"/>
        <v>38.527405634688698</v>
      </c>
      <c r="M42" s="203">
        <f>+งบดำเนินงาน!M71+งบดำเนินงาน!M16</f>
        <v>504072.64</v>
      </c>
      <c r="N42" s="203">
        <f t="shared" si="19"/>
        <v>38.664475995428432</v>
      </c>
      <c r="O42" s="203">
        <f>+งบดำเนินงาน!O71+งบดำเนินงาน!O16</f>
        <v>799637.36</v>
      </c>
      <c r="P42" s="203">
        <f t="shared" si="20"/>
        <v>61.335524004571568</v>
      </c>
      <c r="Q42" s="203">
        <f>+งบดำเนินงาน!Q71+งบดำเนินงาน!Q16</f>
        <v>1818387.3599999999</v>
      </c>
      <c r="R42" s="203">
        <f t="shared" si="21"/>
        <v>78.29574502897789</v>
      </c>
      <c r="S42" s="239"/>
      <c r="T42" s="239"/>
    </row>
    <row r="43" spans="1:20" s="206" customFormat="1" hidden="1">
      <c r="A43" s="202"/>
      <c r="B43" s="169" t="s">
        <v>76</v>
      </c>
      <c r="C43" s="203">
        <f>+งบดำเนินงาน!C72</f>
        <v>0</v>
      </c>
      <c r="D43" s="203">
        <f>+งบดำเนินงาน!D72</f>
        <v>0</v>
      </c>
      <c r="E43" s="203">
        <f>+งบดำเนินงาน!E72</f>
        <v>0</v>
      </c>
      <c r="F43" s="203" t="e">
        <f t="shared" si="15"/>
        <v>#DIV/0!</v>
      </c>
      <c r="G43" s="203">
        <f>+งบดำเนินงาน!G72</f>
        <v>0</v>
      </c>
      <c r="H43" s="203" t="e">
        <f t="shared" si="16"/>
        <v>#DIV/0!</v>
      </c>
      <c r="I43" s="203">
        <f>+งบดำเนินงาน!I72</f>
        <v>0</v>
      </c>
      <c r="J43" s="203" t="e">
        <f t="shared" si="17"/>
        <v>#DIV/0!</v>
      </c>
      <c r="K43" s="203">
        <f>+งบดำเนินงาน!K72</f>
        <v>0</v>
      </c>
      <c r="L43" s="203" t="e">
        <f t="shared" si="18"/>
        <v>#DIV/0!</v>
      </c>
      <c r="M43" s="203">
        <f>+งบดำเนินงาน!M72</f>
        <v>0</v>
      </c>
      <c r="N43" s="203" t="e">
        <f t="shared" si="19"/>
        <v>#DIV/0!</v>
      </c>
      <c r="O43" s="203">
        <f>+งบดำเนินงาน!O72</f>
        <v>0</v>
      </c>
      <c r="P43" s="203" t="e">
        <f t="shared" si="20"/>
        <v>#DIV/0!</v>
      </c>
      <c r="Q43" s="203">
        <f>+งบดำเนินงาน!Q72</f>
        <v>0</v>
      </c>
      <c r="R43" s="203" t="e">
        <f t="shared" si="21"/>
        <v>#DIV/0!</v>
      </c>
      <c r="S43" s="239"/>
      <c r="T43" s="239"/>
    </row>
    <row r="44" spans="1:20" s="206" customFormat="1">
      <c r="A44" s="200">
        <v>11</v>
      </c>
      <c r="B44" s="168" t="s">
        <v>57</v>
      </c>
      <c r="C44" s="201">
        <f>+งบดำเนินงาน!C76</f>
        <v>153630</v>
      </c>
      <c r="D44" s="201">
        <f>+งบดำเนินงาน!D76</f>
        <v>76815</v>
      </c>
      <c r="E44" s="201">
        <f>+งบดำเนินงาน!E76</f>
        <v>28700</v>
      </c>
      <c r="F44" s="201">
        <f t="shared" ref="F44:F52" si="22">+E44*100/$D44</f>
        <v>37.362494304497822</v>
      </c>
      <c r="G44" s="201">
        <f>+งบดำเนินงาน!G76</f>
        <v>0</v>
      </c>
      <c r="H44" s="201">
        <f t="shared" ref="H44:H52" si="23">+G44*100/$D44</f>
        <v>0</v>
      </c>
      <c r="I44" s="201">
        <f>+งบดำเนินงาน!I76</f>
        <v>0</v>
      </c>
      <c r="J44" s="201">
        <f t="shared" ref="J44:J52" si="24">+I44*100/$D44</f>
        <v>0</v>
      </c>
      <c r="K44" s="201">
        <f>+งบดำเนินงาน!K76</f>
        <v>26966.58</v>
      </c>
      <c r="L44" s="201">
        <f t="shared" ref="L44:L52" si="25">+K44*100/$D44</f>
        <v>35.105877758250344</v>
      </c>
      <c r="M44" s="201">
        <f>+งบดำเนินงาน!M76</f>
        <v>55666.58</v>
      </c>
      <c r="N44" s="201">
        <f t="shared" ref="N44:N52" si="26">+M44*100/$D44</f>
        <v>72.468372062748159</v>
      </c>
      <c r="O44" s="201">
        <f>+งบดำเนินงาน!O76</f>
        <v>21148.42</v>
      </c>
      <c r="P44" s="201">
        <f t="shared" ref="P44:P52" si="27">+O44*100/$D44</f>
        <v>27.531627937251837</v>
      </c>
      <c r="Q44" s="201">
        <f>+งบดำเนินงาน!Q76</f>
        <v>97963.42</v>
      </c>
      <c r="R44" s="201">
        <f>+Q44*100/C44</f>
        <v>63.76581396862592</v>
      </c>
      <c r="S44" s="239"/>
      <c r="T44" s="239"/>
    </row>
    <row r="45" spans="1:20" s="206" customFormat="1" hidden="1">
      <c r="A45" s="202"/>
      <c r="B45" s="51" t="s">
        <v>75</v>
      </c>
      <c r="C45" s="203">
        <f>+งบดำเนินงาน!C77</f>
        <v>153630</v>
      </c>
      <c r="D45" s="203">
        <f>+งบดำเนินงาน!D77</f>
        <v>76815</v>
      </c>
      <c r="E45" s="203">
        <f>+งบดำเนินงาน!E77</f>
        <v>28700</v>
      </c>
      <c r="F45" s="203">
        <f t="shared" si="22"/>
        <v>37.362494304497822</v>
      </c>
      <c r="G45" s="203">
        <f>+งบดำเนินงาน!G77</f>
        <v>0</v>
      </c>
      <c r="H45" s="203">
        <f t="shared" si="23"/>
        <v>0</v>
      </c>
      <c r="I45" s="203">
        <f>+งบดำเนินงาน!I77</f>
        <v>0</v>
      </c>
      <c r="J45" s="203">
        <f t="shared" si="24"/>
        <v>0</v>
      </c>
      <c r="K45" s="203">
        <f>+งบดำเนินงาน!K77</f>
        <v>26966.58</v>
      </c>
      <c r="L45" s="203">
        <f t="shared" si="25"/>
        <v>35.105877758250344</v>
      </c>
      <c r="M45" s="203">
        <f>+งบดำเนินงาน!M77</f>
        <v>55666.58</v>
      </c>
      <c r="N45" s="203">
        <f t="shared" si="26"/>
        <v>72.468372062748159</v>
      </c>
      <c r="O45" s="203">
        <f>+งบดำเนินงาน!O77</f>
        <v>21148.42</v>
      </c>
      <c r="P45" s="203">
        <f t="shared" si="27"/>
        <v>27.531627937251837</v>
      </c>
      <c r="Q45" s="203">
        <f>+งบดำเนินงาน!Q77</f>
        <v>97963.42</v>
      </c>
      <c r="R45" s="203">
        <f>+Q45*100/C45</f>
        <v>63.76581396862592</v>
      </c>
      <c r="S45" s="239"/>
      <c r="T45" s="239"/>
    </row>
    <row r="46" spans="1:20" s="206" customFormat="1" hidden="1">
      <c r="A46" s="202"/>
      <c r="B46" s="51" t="s">
        <v>76</v>
      </c>
      <c r="C46" s="203">
        <f>+งบดำเนินงาน!C78</f>
        <v>0</v>
      </c>
      <c r="D46" s="203">
        <f>+งบดำเนินงาน!D78</f>
        <v>0</v>
      </c>
      <c r="E46" s="203">
        <f>+งบดำเนินงาน!E78</f>
        <v>0</v>
      </c>
      <c r="F46" s="203" t="e">
        <f t="shared" si="22"/>
        <v>#DIV/0!</v>
      </c>
      <c r="G46" s="203">
        <f>+งบดำเนินงาน!G78</f>
        <v>0</v>
      </c>
      <c r="H46" s="203" t="e">
        <f t="shared" si="23"/>
        <v>#DIV/0!</v>
      </c>
      <c r="I46" s="203">
        <f>+งบดำเนินงาน!I78</f>
        <v>0</v>
      </c>
      <c r="J46" s="203" t="e">
        <f t="shared" si="24"/>
        <v>#DIV/0!</v>
      </c>
      <c r="K46" s="203">
        <f>+งบดำเนินงาน!K78</f>
        <v>0</v>
      </c>
      <c r="L46" s="203" t="e">
        <f t="shared" si="25"/>
        <v>#DIV/0!</v>
      </c>
      <c r="M46" s="203">
        <f>+งบดำเนินงาน!M78</f>
        <v>0</v>
      </c>
      <c r="N46" s="203" t="e">
        <f t="shared" si="26"/>
        <v>#DIV/0!</v>
      </c>
      <c r="O46" s="203">
        <f>+งบดำเนินงาน!O78</f>
        <v>0</v>
      </c>
      <c r="P46" s="203" t="e">
        <f t="shared" si="27"/>
        <v>#DIV/0!</v>
      </c>
      <c r="Q46" s="203">
        <f>+งบดำเนินงาน!Q78</f>
        <v>0</v>
      </c>
      <c r="R46" s="203" t="e">
        <f>+Q46*100/C46</f>
        <v>#DIV/0!</v>
      </c>
      <c r="S46" s="239"/>
      <c r="T46" s="239"/>
    </row>
    <row r="47" spans="1:20" s="206" customFormat="1">
      <c r="A47" s="200">
        <v>12</v>
      </c>
      <c r="B47" s="168" t="s">
        <v>91</v>
      </c>
      <c r="C47" s="201">
        <f>+งบดำเนินงาน!C79</f>
        <v>7569850</v>
      </c>
      <c r="D47" s="201">
        <f>+งบดำเนินงาน!D79</f>
        <v>4106700</v>
      </c>
      <c r="E47" s="201">
        <f>+งบดำเนินงาน!E79</f>
        <v>0</v>
      </c>
      <c r="F47" s="201">
        <f t="shared" si="22"/>
        <v>0</v>
      </c>
      <c r="G47" s="201">
        <f>+งบดำเนินงาน!G79</f>
        <v>0</v>
      </c>
      <c r="H47" s="201">
        <f t="shared" si="23"/>
        <v>0</v>
      </c>
      <c r="I47" s="201">
        <f>+งบดำเนินงาน!I79</f>
        <v>1400</v>
      </c>
      <c r="J47" s="201">
        <f t="shared" si="24"/>
        <v>3.4090632381230675E-2</v>
      </c>
      <c r="K47" s="201">
        <f>+งบดำเนินงาน!K79</f>
        <v>1308651.97</v>
      </c>
      <c r="L47" s="201">
        <f t="shared" si="25"/>
        <v>31.866266588745223</v>
      </c>
      <c r="M47" s="201">
        <f>+งบดำเนินงาน!M79</f>
        <v>1310051.97</v>
      </c>
      <c r="N47" s="201">
        <f t="shared" si="26"/>
        <v>31.900357221126452</v>
      </c>
      <c r="O47" s="201">
        <f>+งบดำเนินงาน!O79</f>
        <v>2796648.0300000003</v>
      </c>
      <c r="P47" s="201">
        <f t="shared" si="27"/>
        <v>68.099642778873545</v>
      </c>
      <c r="Q47" s="201">
        <f>+งบดำเนินงาน!Q79</f>
        <v>6259798.0300000003</v>
      </c>
      <c r="R47" s="201">
        <f t="shared" ref="R47:R49" si="28">+Q47*100/C47</f>
        <v>82.693818635772175</v>
      </c>
      <c r="S47" s="239"/>
      <c r="T47" s="239"/>
    </row>
    <row r="48" spans="1:20" s="206" customFormat="1" hidden="1">
      <c r="A48" s="202"/>
      <c r="B48" s="169" t="s">
        <v>75</v>
      </c>
      <c r="C48" s="203">
        <f>+งบดำเนินงาน!C80</f>
        <v>7569850</v>
      </c>
      <c r="D48" s="203">
        <f>+งบดำเนินงาน!D80</f>
        <v>4106700</v>
      </c>
      <c r="E48" s="203">
        <f>+งบดำเนินงาน!E80</f>
        <v>0</v>
      </c>
      <c r="F48" s="203">
        <f t="shared" si="22"/>
        <v>0</v>
      </c>
      <c r="G48" s="203">
        <f>+งบดำเนินงาน!G80</f>
        <v>0</v>
      </c>
      <c r="H48" s="203">
        <f t="shared" si="23"/>
        <v>0</v>
      </c>
      <c r="I48" s="203">
        <f>+งบดำเนินงาน!I80</f>
        <v>1400</v>
      </c>
      <c r="J48" s="203">
        <f t="shared" si="24"/>
        <v>3.4090632381230675E-2</v>
      </c>
      <c r="K48" s="203">
        <f>+งบดำเนินงาน!K80</f>
        <v>1308651.97</v>
      </c>
      <c r="L48" s="203">
        <f t="shared" si="25"/>
        <v>31.866266588745223</v>
      </c>
      <c r="M48" s="203">
        <f>+งบดำเนินงาน!M80</f>
        <v>1310051.97</v>
      </c>
      <c r="N48" s="203">
        <f t="shared" si="26"/>
        <v>31.900357221126452</v>
      </c>
      <c r="O48" s="203">
        <f>+งบดำเนินงาน!O80</f>
        <v>2796648.0300000003</v>
      </c>
      <c r="P48" s="203">
        <f t="shared" si="27"/>
        <v>68.099642778873545</v>
      </c>
      <c r="Q48" s="203">
        <f>+งบดำเนินงาน!Q80</f>
        <v>6259798.0300000003</v>
      </c>
      <c r="R48" s="203">
        <f t="shared" si="28"/>
        <v>82.693818635772175</v>
      </c>
      <c r="S48" s="239"/>
      <c r="T48" s="239"/>
    </row>
    <row r="49" spans="1:20" s="206" customFormat="1" hidden="1">
      <c r="A49" s="202"/>
      <c r="B49" s="169" t="s">
        <v>76</v>
      </c>
      <c r="C49" s="203">
        <f>+งบดำเนินงาน!C81</f>
        <v>0</v>
      </c>
      <c r="D49" s="203">
        <f>+งบดำเนินงาน!D81</f>
        <v>0</v>
      </c>
      <c r="E49" s="203">
        <f>+งบดำเนินงาน!E81</f>
        <v>0</v>
      </c>
      <c r="F49" s="203" t="e">
        <f t="shared" si="22"/>
        <v>#DIV/0!</v>
      </c>
      <c r="G49" s="203">
        <f>+งบดำเนินงาน!G81</f>
        <v>0</v>
      </c>
      <c r="H49" s="203" t="e">
        <f t="shared" si="23"/>
        <v>#DIV/0!</v>
      </c>
      <c r="I49" s="203">
        <f>+งบดำเนินงาน!I81</f>
        <v>0</v>
      </c>
      <c r="J49" s="203" t="e">
        <f t="shared" si="24"/>
        <v>#DIV/0!</v>
      </c>
      <c r="K49" s="203">
        <f>+งบดำเนินงาน!K81</f>
        <v>0</v>
      </c>
      <c r="L49" s="203" t="e">
        <f t="shared" si="25"/>
        <v>#DIV/0!</v>
      </c>
      <c r="M49" s="203">
        <f>+งบดำเนินงาน!M81</f>
        <v>0</v>
      </c>
      <c r="N49" s="203" t="e">
        <f t="shared" si="26"/>
        <v>#DIV/0!</v>
      </c>
      <c r="O49" s="203">
        <f>+งบดำเนินงาน!O81</f>
        <v>0</v>
      </c>
      <c r="P49" s="203" t="e">
        <f t="shared" si="27"/>
        <v>#DIV/0!</v>
      </c>
      <c r="Q49" s="203">
        <f>+งบดำเนินงาน!Q81</f>
        <v>0</v>
      </c>
      <c r="R49" s="203" t="e">
        <f t="shared" si="28"/>
        <v>#DIV/0!</v>
      </c>
      <c r="S49" s="239"/>
      <c r="T49" s="239"/>
    </row>
    <row r="50" spans="1:20" s="206" customFormat="1">
      <c r="A50" s="200">
        <v>13</v>
      </c>
      <c r="B50" s="168" t="s">
        <v>78</v>
      </c>
      <c r="C50" s="201">
        <f>+งบดำเนินงาน!C82+งบดำเนินงาน!C14+งบดำเนินงาน!C143</f>
        <v>18329445</v>
      </c>
      <c r="D50" s="201">
        <f>+งบดำเนินงาน!D82+งบดำเนินงาน!D14+งบดำเนินงาน!D143</f>
        <v>9285665</v>
      </c>
      <c r="E50" s="201">
        <f>+งบดำเนินงาน!E82+งบดำเนินงาน!E14+งบดำเนินงาน!E143</f>
        <v>0</v>
      </c>
      <c r="F50" s="201">
        <f t="shared" si="22"/>
        <v>0</v>
      </c>
      <c r="G50" s="201">
        <f>+งบดำเนินงาน!G82+งบดำเนินงาน!G14+งบดำเนินงาน!G143</f>
        <v>65065</v>
      </c>
      <c r="H50" s="201">
        <f t="shared" si="23"/>
        <v>0.70070371911973994</v>
      </c>
      <c r="I50" s="201">
        <f>+งบดำเนินงาน!I82+งบดำเนินงาน!I14+งบดำเนินงาน!I143</f>
        <v>51386.29</v>
      </c>
      <c r="J50" s="201">
        <f t="shared" si="24"/>
        <v>0.55339375262837931</v>
      </c>
      <c r="K50" s="201">
        <f>+งบดำเนินงาน!K82+งบดำเนินงาน!K14+งบดำเนินงาน!K143</f>
        <v>1801685.07</v>
      </c>
      <c r="L50" s="201">
        <f t="shared" si="25"/>
        <v>19.402865276746468</v>
      </c>
      <c r="M50" s="201">
        <f>+งบดำเนินงาน!M82+งบดำเนินงาน!M14+งบดำเนินงาน!M143</f>
        <v>1918136.36</v>
      </c>
      <c r="N50" s="201">
        <f t="shared" si="26"/>
        <v>20.656962748494589</v>
      </c>
      <c r="O50" s="201">
        <f>+งบดำเนินงาน!O82+งบดำเนินงาน!O14+งบดำเนินงาน!O143</f>
        <v>7367528.6399999997</v>
      </c>
      <c r="P50" s="201">
        <f t="shared" si="27"/>
        <v>79.343037251505407</v>
      </c>
      <c r="Q50" s="201">
        <f>+งบดำเนินงาน!Q82+งบดำเนินงาน!Q14+งบดำเนินงาน!Q143</f>
        <v>16411308.640000001</v>
      </c>
      <c r="R50" s="201">
        <f>+Q50*100/C50</f>
        <v>89.535218551352756</v>
      </c>
      <c r="S50" s="239"/>
      <c r="T50" s="239"/>
    </row>
    <row r="51" spans="1:20" s="206" customFormat="1" hidden="1">
      <c r="A51" s="202"/>
      <c r="B51" s="169" t="s">
        <v>75</v>
      </c>
      <c r="C51" s="203">
        <f>+งบดำเนินงาน!C83+งบดำเนินงาน!C14+งบดำเนินงาน!C143</f>
        <v>18329445</v>
      </c>
      <c r="D51" s="203">
        <f>+งบดำเนินงาน!D83+งบดำเนินงาน!D14+งบดำเนินงาน!D143</f>
        <v>9285665</v>
      </c>
      <c r="E51" s="203">
        <f>+งบดำเนินงาน!E83+งบดำเนินงาน!E14+งบดำเนินงาน!E143</f>
        <v>0</v>
      </c>
      <c r="F51" s="203">
        <f t="shared" si="22"/>
        <v>0</v>
      </c>
      <c r="G51" s="203">
        <f>+งบดำเนินงาน!G83+งบดำเนินงาน!G14+งบดำเนินงาน!G143</f>
        <v>65065</v>
      </c>
      <c r="H51" s="203">
        <f t="shared" si="23"/>
        <v>0.70070371911973994</v>
      </c>
      <c r="I51" s="203">
        <f>+งบดำเนินงาน!I83+งบดำเนินงาน!I14+งบดำเนินงาน!I143</f>
        <v>51386.29</v>
      </c>
      <c r="J51" s="203">
        <f t="shared" si="24"/>
        <v>0.55339375262837931</v>
      </c>
      <c r="K51" s="203">
        <f>+งบดำเนินงาน!K83+งบดำเนินงาน!K14+งบดำเนินงาน!K143</f>
        <v>1801685.07</v>
      </c>
      <c r="L51" s="203">
        <f t="shared" si="25"/>
        <v>19.402865276746468</v>
      </c>
      <c r="M51" s="203">
        <f>+งบดำเนินงาน!M83+งบดำเนินงาน!M14+งบดำเนินงาน!M143</f>
        <v>1918136.36</v>
      </c>
      <c r="N51" s="203">
        <f t="shared" si="26"/>
        <v>20.656962748494589</v>
      </c>
      <c r="O51" s="203">
        <f>+งบดำเนินงาน!O83+งบดำเนินงาน!O14+งบดำเนินงาน!O143</f>
        <v>7367528.6399999997</v>
      </c>
      <c r="P51" s="203">
        <f t="shared" si="27"/>
        <v>79.343037251505407</v>
      </c>
      <c r="Q51" s="203">
        <f>+งบดำเนินงาน!Q83+งบดำเนินงาน!Q14+งบดำเนินงาน!Q143</f>
        <v>16411308.640000001</v>
      </c>
      <c r="R51" s="203">
        <f>+Q51*100/C51</f>
        <v>89.535218551352756</v>
      </c>
      <c r="S51" s="239"/>
      <c r="T51" s="239"/>
    </row>
    <row r="52" spans="1:20" s="206" customFormat="1" hidden="1">
      <c r="A52" s="202"/>
      <c r="B52" s="169" t="s">
        <v>76</v>
      </c>
      <c r="C52" s="203">
        <f>+งบดำเนินงาน!C84</f>
        <v>0</v>
      </c>
      <c r="D52" s="203">
        <f>+งบดำเนินงาน!D84</f>
        <v>0</v>
      </c>
      <c r="E52" s="203">
        <f>+งบดำเนินงาน!E84</f>
        <v>0</v>
      </c>
      <c r="F52" s="203" t="e">
        <f t="shared" si="22"/>
        <v>#DIV/0!</v>
      </c>
      <c r="G52" s="203">
        <f>+งบดำเนินงาน!G84</f>
        <v>0</v>
      </c>
      <c r="H52" s="203" t="e">
        <f t="shared" si="23"/>
        <v>#DIV/0!</v>
      </c>
      <c r="I52" s="203">
        <f>+งบดำเนินงาน!I84</f>
        <v>0</v>
      </c>
      <c r="J52" s="203" t="e">
        <f t="shared" si="24"/>
        <v>#DIV/0!</v>
      </c>
      <c r="K52" s="203">
        <f>+งบดำเนินงาน!K84</f>
        <v>0</v>
      </c>
      <c r="L52" s="203" t="e">
        <f t="shared" si="25"/>
        <v>#DIV/0!</v>
      </c>
      <c r="M52" s="203">
        <f>+งบดำเนินงาน!M84</f>
        <v>0</v>
      </c>
      <c r="N52" s="203" t="e">
        <f t="shared" si="26"/>
        <v>#DIV/0!</v>
      </c>
      <c r="O52" s="203">
        <f>+งบดำเนินงาน!O84</f>
        <v>0</v>
      </c>
      <c r="P52" s="203" t="e">
        <f t="shared" si="27"/>
        <v>#DIV/0!</v>
      </c>
      <c r="Q52" s="203">
        <f>+งบดำเนินงาน!Q84</f>
        <v>0</v>
      </c>
      <c r="R52" s="203" t="e">
        <f>+Q52*100/C52</f>
        <v>#DIV/0!</v>
      </c>
      <c r="S52" s="239"/>
      <c r="T52" s="239"/>
    </row>
    <row r="53" spans="1:20" s="206" customFormat="1">
      <c r="A53" s="200">
        <v>14</v>
      </c>
      <c r="B53" s="168" t="s">
        <v>82</v>
      </c>
      <c r="C53" s="201">
        <f>+งบดำเนินงาน!C73+งบดำเนินงาน!C19+งบดำเนินงาน!C142</f>
        <v>18895170</v>
      </c>
      <c r="D53" s="201">
        <f>+งบดำเนินงาน!D73+งบดำเนินงาน!D19+งบดำเนินงาน!D142</f>
        <v>10112620</v>
      </c>
      <c r="E53" s="201">
        <f>+งบดำเนินงาน!E73+งบดำเนินงาน!E19+งบดำเนินงาน!E142</f>
        <v>0</v>
      </c>
      <c r="F53" s="201">
        <f t="shared" ref="F53:F61" si="29">+E53*100/$D53</f>
        <v>0</v>
      </c>
      <c r="G53" s="201">
        <f>+งบดำเนินงาน!G73+งบดำเนินงาน!G19+งบดำเนินงาน!G142</f>
        <v>9710</v>
      </c>
      <c r="H53" s="201">
        <f t="shared" ref="H53:H61" si="30">+G53*100/$D53</f>
        <v>9.601863809774322E-2</v>
      </c>
      <c r="I53" s="201">
        <f>+งบดำเนินงาน!I73+งบดำเนินงาน!I19+งบดำเนินงาน!I142</f>
        <v>242366.34</v>
      </c>
      <c r="J53" s="201">
        <f t="shared" ref="J53:J61" si="31">+I53*100/$D53</f>
        <v>2.3966720790457865</v>
      </c>
      <c r="K53" s="201">
        <f>+งบดำเนินงาน!K73+งบดำเนินงาน!K19+งบดำเนินงาน!K142</f>
        <v>1849251.48</v>
      </c>
      <c r="L53" s="201">
        <f t="shared" ref="L53:L61" si="32">+K53*100/$D53</f>
        <v>18.286571432526884</v>
      </c>
      <c r="M53" s="201">
        <f>+งบดำเนินงาน!M73+งบดำเนินงาน!M19+งบดำเนินงาน!M142</f>
        <v>2101327.8200000003</v>
      </c>
      <c r="N53" s="201">
        <f t="shared" ref="N53:N61" si="33">+M53*100/$D53</f>
        <v>20.779262149670416</v>
      </c>
      <c r="O53" s="201">
        <f>+งบดำเนินงาน!O73+งบดำเนินงาน!O19+งบดำเนินงาน!O142</f>
        <v>8011292.1799999997</v>
      </c>
      <c r="P53" s="201">
        <f t="shared" ref="P53:P61" si="34">+O53*100/$D53</f>
        <v>79.220737850329584</v>
      </c>
      <c r="Q53" s="201">
        <f>+งบดำเนินงาน!Q73+งบดำเนินงาน!Q19+งบดำเนินงาน!Q142</f>
        <v>16793842.18</v>
      </c>
      <c r="R53" s="201">
        <f t="shared" ref="R53:R61" si="35">+Q53*100/C53</f>
        <v>88.879021358368306</v>
      </c>
      <c r="S53" s="239"/>
      <c r="T53" s="239"/>
    </row>
    <row r="54" spans="1:20" s="206" customFormat="1" hidden="1">
      <c r="A54" s="202"/>
      <c r="B54" s="169" t="s">
        <v>75</v>
      </c>
      <c r="C54" s="203">
        <f>+งบดำเนินงาน!C74+งบดำเนินงาน!C19+งบดำเนินงาน!C142</f>
        <v>18895170</v>
      </c>
      <c r="D54" s="203">
        <f>+งบดำเนินงาน!D74+งบดำเนินงาน!D19+งบดำเนินงาน!D142</f>
        <v>10112620</v>
      </c>
      <c r="E54" s="203">
        <f>+งบดำเนินงาน!E74+งบดำเนินงาน!E19+งบดำเนินงาน!E142</f>
        <v>0</v>
      </c>
      <c r="F54" s="203">
        <f t="shared" si="29"/>
        <v>0</v>
      </c>
      <c r="G54" s="203">
        <f>+งบดำเนินงาน!G74+งบดำเนินงาน!G19+งบดำเนินงาน!G142</f>
        <v>9710</v>
      </c>
      <c r="H54" s="203">
        <f t="shared" si="30"/>
        <v>9.601863809774322E-2</v>
      </c>
      <c r="I54" s="203">
        <f>+งบดำเนินงาน!I74+งบดำเนินงาน!I19+งบดำเนินงาน!I142</f>
        <v>242366.34</v>
      </c>
      <c r="J54" s="203">
        <f t="shared" si="31"/>
        <v>2.3966720790457865</v>
      </c>
      <c r="K54" s="203">
        <f>+งบดำเนินงาน!K74+งบดำเนินงาน!K19+งบดำเนินงาน!K142</f>
        <v>1849251.48</v>
      </c>
      <c r="L54" s="203">
        <f t="shared" si="32"/>
        <v>18.286571432526884</v>
      </c>
      <c r="M54" s="203">
        <f>+งบดำเนินงาน!M74+งบดำเนินงาน!M19+งบดำเนินงาน!M142</f>
        <v>2101327.8200000003</v>
      </c>
      <c r="N54" s="203">
        <f t="shared" si="33"/>
        <v>20.779262149670416</v>
      </c>
      <c r="O54" s="203">
        <f>+งบดำเนินงาน!O74+งบดำเนินงาน!O19+งบดำเนินงาน!O142</f>
        <v>8011292.1799999997</v>
      </c>
      <c r="P54" s="203">
        <f t="shared" si="34"/>
        <v>79.220737850329584</v>
      </c>
      <c r="Q54" s="203">
        <f>+งบดำเนินงาน!Q74+งบดำเนินงาน!Q19+งบดำเนินงาน!Q142</f>
        <v>16793842.18</v>
      </c>
      <c r="R54" s="203">
        <f t="shared" si="35"/>
        <v>88.879021358368306</v>
      </c>
      <c r="S54" s="239"/>
      <c r="T54" s="239"/>
    </row>
    <row r="55" spans="1:20" s="206" customFormat="1" hidden="1">
      <c r="A55" s="202"/>
      <c r="B55" s="169" t="s">
        <v>76</v>
      </c>
      <c r="C55" s="203">
        <f>+งบดำเนินงาน!C75</f>
        <v>0</v>
      </c>
      <c r="D55" s="203">
        <f>+งบดำเนินงาน!D75</f>
        <v>0</v>
      </c>
      <c r="E55" s="203">
        <f>+งบดำเนินงาน!E75</f>
        <v>0</v>
      </c>
      <c r="F55" s="203" t="e">
        <f t="shared" si="29"/>
        <v>#DIV/0!</v>
      </c>
      <c r="G55" s="203">
        <f>+งบดำเนินงาน!G75</f>
        <v>0</v>
      </c>
      <c r="H55" s="203" t="e">
        <f t="shared" si="30"/>
        <v>#DIV/0!</v>
      </c>
      <c r="I55" s="203">
        <f>+งบดำเนินงาน!I75</f>
        <v>0</v>
      </c>
      <c r="J55" s="203" t="e">
        <f t="shared" si="31"/>
        <v>#DIV/0!</v>
      </c>
      <c r="K55" s="203">
        <f>+งบดำเนินงาน!K75</f>
        <v>0</v>
      </c>
      <c r="L55" s="203" t="e">
        <f t="shared" si="32"/>
        <v>#DIV/0!</v>
      </c>
      <c r="M55" s="203">
        <f>+งบดำเนินงาน!M75</f>
        <v>0</v>
      </c>
      <c r="N55" s="203" t="e">
        <f t="shared" si="33"/>
        <v>#DIV/0!</v>
      </c>
      <c r="O55" s="203">
        <f>+งบดำเนินงาน!O75</f>
        <v>0</v>
      </c>
      <c r="P55" s="203" t="e">
        <f t="shared" si="34"/>
        <v>#DIV/0!</v>
      </c>
      <c r="Q55" s="203">
        <f>+งบดำเนินงาน!Q75</f>
        <v>0</v>
      </c>
      <c r="R55" s="203" t="e">
        <f t="shared" si="35"/>
        <v>#DIV/0!</v>
      </c>
      <c r="S55" s="239"/>
      <c r="T55" s="239"/>
    </row>
    <row r="56" spans="1:20" s="206" customFormat="1">
      <c r="A56" s="200">
        <v>15</v>
      </c>
      <c r="B56" s="63" t="s">
        <v>98</v>
      </c>
      <c r="C56" s="201">
        <f>+งบดำเนินงาน!C133</f>
        <v>14024030</v>
      </c>
      <c r="D56" s="201">
        <f>+งบดำเนินงาน!D133</f>
        <v>7012015</v>
      </c>
      <c r="E56" s="201">
        <f>+งบดำเนินงาน!E133</f>
        <v>0</v>
      </c>
      <c r="F56" s="201">
        <f>+E56*100/$D56</f>
        <v>0</v>
      </c>
      <c r="G56" s="201">
        <f>+งบดำเนินงาน!G133</f>
        <v>509729.58999999997</v>
      </c>
      <c r="H56" s="201">
        <f>+G56*100/$D56</f>
        <v>7.2693739246136806</v>
      </c>
      <c r="I56" s="201">
        <f>+งบดำเนินงาน!I133</f>
        <v>85600</v>
      </c>
      <c r="J56" s="201">
        <f>+I56*100/$D56</f>
        <v>1.2207617924376943</v>
      </c>
      <c r="K56" s="201">
        <f>+งบดำเนินงาน!K133</f>
        <v>1209932.1500000001</v>
      </c>
      <c r="L56" s="201">
        <f>+K56*100/$D56</f>
        <v>17.255127805630767</v>
      </c>
      <c r="M56" s="201">
        <f>+งบดำเนินงาน!M133</f>
        <v>1805261.7400000002</v>
      </c>
      <c r="N56" s="201">
        <f>+M56*100/$D56</f>
        <v>25.745263522682144</v>
      </c>
      <c r="O56" s="201">
        <f>+งบดำเนินงาน!O133</f>
        <v>5206753.26</v>
      </c>
      <c r="P56" s="201">
        <f>+O56*100/$D56</f>
        <v>74.254736477317863</v>
      </c>
      <c r="Q56" s="201">
        <f>+งบดำเนินงาน!Q133</f>
        <v>12218768.26</v>
      </c>
      <c r="R56" s="201">
        <f>+Q56*100/C56</f>
        <v>87.127368238658931</v>
      </c>
      <c r="S56" s="239"/>
      <c r="T56" s="239"/>
    </row>
    <row r="57" spans="1:20" s="206" customFormat="1" hidden="1">
      <c r="A57" s="202"/>
      <c r="B57" s="51" t="s">
        <v>75</v>
      </c>
      <c r="C57" s="203">
        <f>+งบดำเนินงาน!C134</f>
        <v>14024030</v>
      </c>
      <c r="D57" s="203">
        <f>+งบดำเนินงาน!D134</f>
        <v>7012015</v>
      </c>
      <c r="E57" s="203">
        <f>+งบดำเนินงาน!E134</f>
        <v>0</v>
      </c>
      <c r="F57" s="203">
        <f>+E57*100/$D57</f>
        <v>0</v>
      </c>
      <c r="G57" s="203">
        <f>+งบดำเนินงาน!G134</f>
        <v>509729.58999999997</v>
      </c>
      <c r="H57" s="203">
        <f>+G57*100/$D57</f>
        <v>7.2693739246136806</v>
      </c>
      <c r="I57" s="203">
        <f>+งบดำเนินงาน!I134</f>
        <v>85600</v>
      </c>
      <c r="J57" s="203">
        <f>+I57*100/$D57</f>
        <v>1.2207617924376943</v>
      </c>
      <c r="K57" s="203">
        <f>+งบดำเนินงาน!K134</f>
        <v>1209932.1500000001</v>
      </c>
      <c r="L57" s="203">
        <f>+K57*100/$D57</f>
        <v>17.255127805630767</v>
      </c>
      <c r="M57" s="203">
        <f>+งบดำเนินงาน!M134</f>
        <v>1805261.7400000002</v>
      </c>
      <c r="N57" s="203">
        <f>+M57*100/$D57</f>
        <v>25.745263522682144</v>
      </c>
      <c r="O57" s="203">
        <f>+งบดำเนินงาน!O134</f>
        <v>5206753.26</v>
      </c>
      <c r="P57" s="203">
        <f>+O57*100/$D57</f>
        <v>74.254736477317863</v>
      </c>
      <c r="Q57" s="203">
        <f>+งบดำเนินงาน!Q134</f>
        <v>12218768.26</v>
      </c>
      <c r="R57" s="203">
        <f>+Q57*100/C57</f>
        <v>87.127368238658931</v>
      </c>
      <c r="S57" s="239"/>
      <c r="T57" s="239"/>
    </row>
    <row r="58" spans="1:20" s="206" customFormat="1" hidden="1">
      <c r="A58" s="202"/>
      <c r="B58" s="51" t="s">
        <v>76</v>
      </c>
      <c r="C58" s="203">
        <f>+งบดำเนินงาน!C135</f>
        <v>0</v>
      </c>
      <c r="D58" s="203">
        <f>+งบดำเนินงาน!D135</f>
        <v>0</v>
      </c>
      <c r="E58" s="203">
        <f>+งบดำเนินงาน!E135</f>
        <v>0</v>
      </c>
      <c r="F58" s="203" t="e">
        <f>+E58*100/$D58</f>
        <v>#DIV/0!</v>
      </c>
      <c r="G58" s="203">
        <f>+งบดำเนินงาน!G135</f>
        <v>0</v>
      </c>
      <c r="H58" s="203" t="e">
        <f>+G58*100/$D58</f>
        <v>#DIV/0!</v>
      </c>
      <c r="I58" s="203">
        <f>+งบดำเนินงาน!I135</f>
        <v>0</v>
      </c>
      <c r="J58" s="203" t="e">
        <f>+I58*100/$D58</f>
        <v>#DIV/0!</v>
      </c>
      <c r="K58" s="203">
        <f>+งบดำเนินงาน!K135</f>
        <v>0</v>
      </c>
      <c r="L58" s="203" t="e">
        <f>+K58*100/$D58</f>
        <v>#DIV/0!</v>
      </c>
      <c r="M58" s="203">
        <f>+งบดำเนินงาน!M135</f>
        <v>0</v>
      </c>
      <c r="N58" s="203" t="e">
        <f>+M58*100/$D58</f>
        <v>#DIV/0!</v>
      </c>
      <c r="O58" s="203">
        <f>+งบดำเนินงาน!O135</f>
        <v>0</v>
      </c>
      <c r="P58" s="203" t="e">
        <f>+O58*100/$D58</f>
        <v>#DIV/0!</v>
      </c>
      <c r="Q58" s="203">
        <f>+งบดำเนินงาน!Q135</f>
        <v>0</v>
      </c>
      <c r="R58" s="203" t="e">
        <f>+Q58*100/C58</f>
        <v>#DIV/0!</v>
      </c>
      <c r="S58" s="239"/>
      <c r="T58" s="239"/>
    </row>
    <row r="59" spans="1:20" s="206" customFormat="1">
      <c r="A59" s="200">
        <v>16</v>
      </c>
      <c r="B59" s="168" t="s">
        <v>86</v>
      </c>
      <c r="C59" s="201">
        <f>+งบดำเนินงาน!C85</f>
        <v>7070230</v>
      </c>
      <c r="D59" s="201">
        <f>+งบดำเนินงาน!D85</f>
        <v>3588080</v>
      </c>
      <c r="E59" s="201">
        <f>+งบดำเนินงาน!E85</f>
        <v>0</v>
      </c>
      <c r="F59" s="201">
        <f t="shared" si="29"/>
        <v>0</v>
      </c>
      <c r="G59" s="201">
        <f>+งบดำเนินงาน!G85</f>
        <v>152426</v>
      </c>
      <c r="H59" s="201">
        <f t="shared" si="30"/>
        <v>4.2481215580477585</v>
      </c>
      <c r="I59" s="201">
        <f>+งบดำเนินงาน!I85</f>
        <v>61000</v>
      </c>
      <c r="J59" s="201">
        <f t="shared" si="31"/>
        <v>1.7000735769548059</v>
      </c>
      <c r="K59" s="201">
        <f>+งบดำเนินงาน!K85</f>
        <v>559807.55000000005</v>
      </c>
      <c r="L59" s="201">
        <f t="shared" si="32"/>
        <v>15.601869244832892</v>
      </c>
      <c r="M59" s="201">
        <f>+งบดำเนินงาน!M85</f>
        <v>773233.55</v>
      </c>
      <c r="N59" s="201">
        <f t="shared" si="33"/>
        <v>21.550064379835455</v>
      </c>
      <c r="O59" s="201">
        <f>+งบดำเนินงาน!O85</f>
        <v>2814846.45</v>
      </c>
      <c r="P59" s="201">
        <f t="shared" si="34"/>
        <v>78.449935620164538</v>
      </c>
      <c r="Q59" s="201">
        <f>+งบดำเนินงาน!Q85</f>
        <v>6296996.4500000002</v>
      </c>
      <c r="R59" s="201">
        <f t="shared" si="35"/>
        <v>89.063530465062669</v>
      </c>
      <c r="S59" s="239"/>
      <c r="T59" s="239"/>
    </row>
    <row r="60" spans="1:20" s="206" customFormat="1" hidden="1">
      <c r="A60" s="202"/>
      <c r="B60" s="169" t="s">
        <v>75</v>
      </c>
      <c r="C60" s="203">
        <f>+งบดำเนินงาน!C86</f>
        <v>7070230</v>
      </c>
      <c r="D60" s="203">
        <f>+งบดำเนินงาน!D86</f>
        <v>3588080</v>
      </c>
      <c r="E60" s="203">
        <f>+งบดำเนินงาน!E86</f>
        <v>0</v>
      </c>
      <c r="F60" s="203">
        <f t="shared" si="29"/>
        <v>0</v>
      </c>
      <c r="G60" s="203">
        <f>+งบดำเนินงาน!G86</f>
        <v>152426</v>
      </c>
      <c r="H60" s="203">
        <f t="shared" si="30"/>
        <v>4.2481215580477585</v>
      </c>
      <c r="I60" s="203">
        <f>+งบดำเนินงาน!I86</f>
        <v>61000</v>
      </c>
      <c r="J60" s="203">
        <f t="shared" si="31"/>
        <v>1.7000735769548059</v>
      </c>
      <c r="K60" s="203">
        <f>+งบดำเนินงาน!K86</f>
        <v>559807.55000000005</v>
      </c>
      <c r="L60" s="203">
        <f t="shared" si="32"/>
        <v>15.601869244832892</v>
      </c>
      <c r="M60" s="203">
        <f>+งบดำเนินงาน!M86</f>
        <v>773233.55</v>
      </c>
      <c r="N60" s="203">
        <f t="shared" si="33"/>
        <v>21.550064379835455</v>
      </c>
      <c r="O60" s="203">
        <f>+งบดำเนินงาน!O86</f>
        <v>2814846.45</v>
      </c>
      <c r="P60" s="203">
        <f t="shared" si="34"/>
        <v>78.449935620164538</v>
      </c>
      <c r="Q60" s="203">
        <f>+งบดำเนินงาน!Q86</f>
        <v>6296996.4500000002</v>
      </c>
      <c r="R60" s="203">
        <f t="shared" si="35"/>
        <v>89.063530465062669</v>
      </c>
      <c r="S60" s="239"/>
      <c r="T60" s="239"/>
    </row>
    <row r="61" spans="1:20" s="206" customFormat="1" hidden="1">
      <c r="A61" s="202"/>
      <c r="B61" s="169" t="s">
        <v>76</v>
      </c>
      <c r="C61" s="203">
        <f>+งบดำเนินงาน!C87</f>
        <v>0</v>
      </c>
      <c r="D61" s="203">
        <f>+งบดำเนินงาน!D87</f>
        <v>0</v>
      </c>
      <c r="E61" s="203">
        <f>+งบดำเนินงาน!E87</f>
        <v>0</v>
      </c>
      <c r="F61" s="203" t="e">
        <f t="shared" si="29"/>
        <v>#DIV/0!</v>
      </c>
      <c r="G61" s="203">
        <f>+งบดำเนินงาน!G87</f>
        <v>0</v>
      </c>
      <c r="H61" s="203" t="e">
        <f t="shared" si="30"/>
        <v>#DIV/0!</v>
      </c>
      <c r="I61" s="203">
        <f>+งบดำเนินงาน!I87</f>
        <v>0</v>
      </c>
      <c r="J61" s="203" t="e">
        <f t="shared" si="31"/>
        <v>#DIV/0!</v>
      </c>
      <c r="K61" s="203">
        <f>+งบดำเนินงาน!K87</f>
        <v>0</v>
      </c>
      <c r="L61" s="203" t="e">
        <f t="shared" si="32"/>
        <v>#DIV/0!</v>
      </c>
      <c r="M61" s="203">
        <f>+งบดำเนินงาน!M87</f>
        <v>0</v>
      </c>
      <c r="N61" s="203" t="e">
        <f t="shared" si="33"/>
        <v>#DIV/0!</v>
      </c>
      <c r="O61" s="203">
        <f>+งบดำเนินงาน!O87</f>
        <v>0</v>
      </c>
      <c r="P61" s="203" t="e">
        <f t="shared" si="34"/>
        <v>#DIV/0!</v>
      </c>
      <c r="Q61" s="203">
        <f>+งบดำเนินงาน!Q87</f>
        <v>0</v>
      </c>
      <c r="R61" s="203" t="e">
        <f t="shared" si="35"/>
        <v>#DIV/0!</v>
      </c>
      <c r="S61" s="239"/>
      <c r="T61" s="239"/>
    </row>
    <row r="62" spans="1:20" s="206" customFormat="1">
      <c r="A62" s="200">
        <v>17</v>
      </c>
      <c r="B62" s="168" t="s">
        <v>89</v>
      </c>
      <c r="C62" s="201">
        <f>+งบดำเนินงาน!C88+งบดำเนินงาน!C24</f>
        <v>7812090</v>
      </c>
      <c r="D62" s="201">
        <f>+งบดำเนินงาน!D88+งบดำเนินงาน!D24</f>
        <v>3824690</v>
      </c>
      <c r="E62" s="201">
        <f>+งบดำเนินงาน!E88+งบดำเนินงาน!E24</f>
        <v>0</v>
      </c>
      <c r="F62" s="201">
        <f t="shared" ref="F62:F67" si="36">+E62*100/$D62</f>
        <v>0</v>
      </c>
      <c r="G62" s="201">
        <f>+งบดำเนินงาน!G88+งบดำเนินงาน!G24</f>
        <v>350</v>
      </c>
      <c r="H62" s="201">
        <f t="shared" ref="H62:H67" si="37">+G62*100/$D62</f>
        <v>9.1510684526066172E-3</v>
      </c>
      <c r="I62" s="201">
        <f>+งบดำเนินงาน!I88+งบดำเนินงาน!I24</f>
        <v>5470</v>
      </c>
      <c r="J62" s="201">
        <f t="shared" ref="J62:J67" si="38">+I62*100/$D62</f>
        <v>0.14301812695930913</v>
      </c>
      <c r="K62" s="201">
        <f>+งบดำเนินงาน!K88+งบดำเนินงาน!K24</f>
        <v>551083.68999999994</v>
      </c>
      <c r="L62" s="201">
        <f t="shared" ref="L62:L67" si="39">+K62*100/$D62</f>
        <v>14.408584486585839</v>
      </c>
      <c r="M62" s="201">
        <f>+งบดำเนินงาน!M88+งบดำเนินงาน!M24</f>
        <v>556903.68999999994</v>
      </c>
      <c r="N62" s="201">
        <f t="shared" ref="N62:N67" si="40">+M62*100/$D62</f>
        <v>14.560753681997754</v>
      </c>
      <c r="O62" s="201">
        <f>+งบดำเนินงาน!O88+งบดำเนินงาน!O24</f>
        <v>3267786.31</v>
      </c>
      <c r="P62" s="201">
        <f t="shared" ref="P62:P67" si="41">+O62*100/$D62</f>
        <v>85.439246318002247</v>
      </c>
      <c r="Q62" s="201">
        <f>+งบดำเนินงาน!Q88+งบดำเนินงาน!Q24</f>
        <v>7255186.3100000005</v>
      </c>
      <c r="R62" s="201">
        <f t="shared" ref="R62:R67" si="42">+Q62*100/C62</f>
        <v>92.871258651654045</v>
      </c>
      <c r="S62" s="239"/>
      <c r="T62" s="239"/>
    </row>
    <row r="63" spans="1:20" s="206" customFormat="1" hidden="1">
      <c r="A63" s="202"/>
      <c r="B63" s="169" t="s">
        <v>75</v>
      </c>
      <c r="C63" s="203">
        <f>+งบดำเนินงาน!C89+งบดำเนินงาน!C24</f>
        <v>7812090</v>
      </c>
      <c r="D63" s="203">
        <f>+งบดำเนินงาน!D89+งบดำเนินงาน!D24</f>
        <v>3824690</v>
      </c>
      <c r="E63" s="203">
        <f>+งบดำเนินงาน!E89+งบดำเนินงาน!E24</f>
        <v>0</v>
      </c>
      <c r="F63" s="203">
        <f t="shared" si="36"/>
        <v>0</v>
      </c>
      <c r="G63" s="203">
        <f>+งบดำเนินงาน!G89+งบดำเนินงาน!G24</f>
        <v>350</v>
      </c>
      <c r="H63" s="203">
        <f t="shared" si="37"/>
        <v>9.1510684526066172E-3</v>
      </c>
      <c r="I63" s="203">
        <f>+งบดำเนินงาน!I89+งบดำเนินงาน!I24</f>
        <v>5470</v>
      </c>
      <c r="J63" s="203">
        <f t="shared" si="38"/>
        <v>0.14301812695930913</v>
      </c>
      <c r="K63" s="203">
        <f>+งบดำเนินงาน!K89+งบดำเนินงาน!K24</f>
        <v>551083.68999999994</v>
      </c>
      <c r="L63" s="203">
        <f t="shared" si="39"/>
        <v>14.408584486585839</v>
      </c>
      <c r="M63" s="203">
        <f>+งบดำเนินงาน!M89+งบดำเนินงาน!M24</f>
        <v>556903.68999999994</v>
      </c>
      <c r="N63" s="203">
        <f t="shared" si="40"/>
        <v>14.560753681997754</v>
      </c>
      <c r="O63" s="203">
        <f>+งบดำเนินงาน!O89+งบดำเนินงาน!O24</f>
        <v>3267786.31</v>
      </c>
      <c r="P63" s="203">
        <f t="shared" si="41"/>
        <v>85.439246318002247</v>
      </c>
      <c r="Q63" s="203">
        <f>+งบดำเนินงาน!Q89+งบดำเนินงาน!Q24</f>
        <v>7255186.3100000005</v>
      </c>
      <c r="R63" s="203">
        <f t="shared" si="42"/>
        <v>92.871258651654045</v>
      </c>
      <c r="S63" s="239"/>
      <c r="T63" s="239"/>
    </row>
    <row r="64" spans="1:20" s="206" customFormat="1" hidden="1">
      <c r="A64" s="202"/>
      <c r="B64" s="169" t="s">
        <v>76</v>
      </c>
      <c r="C64" s="203">
        <f>+งบดำเนินงาน!C90</f>
        <v>0</v>
      </c>
      <c r="D64" s="203">
        <f>+งบดำเนินงาน!D90</f>
        <v>0</v>
      </c>
      <c r="E64" s="203">
        <f>+งบดำเนินงาน!E90</f>
        <v>0</v>
      </c>
      <c r="F64" s="203" t="e">
        <f t="shared" si="36"/>
        <v>#DIV/0!</v>
      </c>
      <c r="G64" s="203">
        <f>+งบดำเนินงาน!G90</f>
        <v>0</v>
      </c>
      <c r="H64" s="203" t="e">
        <f t="shared" si="37"/>
        <v>#DIV/0!</v>
      </c>
      <c r="I64" s="203">
        <f>+งบดำเนินงาน!I90</f>
        <v>0</v>
      </c>
      <c r="J64" s="203" t="e">
        <f t="shared" si="38"/>
        <v>#DIV/0!</v>
      </c>
      <c r="K64" s="203">
        <f>+งบดำเนินงาน!K90</f>
        <v>0</v>
      </c>
      <c r="L64" s="203" t="e">
        <f t="shared" si="39"/>
        <v>#DIV/0!</v>
      </c>
      <c r="M64" s="203">
        <f>+งบดำเนินงาน!M90</f>
        <v>0</v>
      </c>
      <c r="N64" s="203" t="e">
        <f t="shared" si="40"/>
        <v>#DIV/0!</v>
      </c>
      <c r="O64" s="203">
        <f>+งบดำเนินงาน!O90</f>
        <v>0</v>
      </c>
      <c r="P64" s="203" t="e">
        <f t="shared" si="41"/>
        <v>#DIV/0!</v>
      </c>
      <c r="Q64" s="203">
        <f>+งบดำเนินงาน!Q90</f>
        <v>0</v>
      </c>
      <c r="R64" s="203" t="e">
        <f t="shared" si="42"/>
        <v>#DIV/0!</v>
      </c>
      <c r="S64" s="239"/>
      <c r="T64" s="239"/>
    </row>
    <row r="65" spans="1:20" s="206" customFormat="1">
      <c r="A65" s="200">
        <v>18</v>
      </c>
      <c r="B65" s="168" t="s">
        <v>85</v>
      </c>
      <c r="C65" s="201">
        <f>+งบดำเนินงาน!C58+งบดำเนินงาน!C17+งบดำเนินงาน!C140</f>
        <v>39489880</v>
      </c>
      <c r="D65" s="201">
        <f>+งบดำเนินงาน!D58+งบดำเนินงาน!D17+งบดำเนินงาน!D140</f>
        <v>19565830</v>
      </c>
      <c r="E65" s="201">
        <f>+งบดำเนินงาน!E58+งบดำเนินงาน!E17+งบดำเนินงาน!E140</f>
        <v>0</v>
      </c>
      <c r="F65" s="201">
        <f t="shared" si="36"/>
        <v>0</v>
      </c>
      <c r="G65" s="201">
        <f>+งบดำเนินงาน!G58+งบดำเนินงาน!G17+งบดำเนินงาน!G140</f>
        <v>92750</v>
      </c>
      <c r="H65" s="201">
        <f t="shared" si="37"/>
        <v>0.47404071281412546</v>
      </c>
      <c r="I65" s="201">
        <f>+งบดำเนินงาน!I58+งบดำเนินงาน!I17+งบดำเนินงาน!I140</f>
        <v>142508.38</v>
      </c>
      <c r="J65" s="201">
        <f t="shared" si="38"/>
        <v>0.72835335889149599</v>
      </c>
      <c r="K65" s="201">
        <f>+งบดำเนินงาน!K58+งบดำเนินงาน!K17+งบดำเนินงาน!K140</f>
        <v>2469643.4199999995</v>
      </c>
      <c r="L65" s="201">
        <f t="shared" si="39"/>
        <v>12.622226708501502</v>
      </c>
      <c r="M65" s="201">
        <f>+งบดำเนินงาน!M58+งบดำเนินงาน!M17+งบดำเนินงาน!M140</f>
        <v>2704901.8</v>
      </c>
      <c r="N65" s="201">
        <f t="shared" si="40"/>
        <v>13.824620780207127</v>
      </c>
      <c r="O65" s="201">
        <f>+งบดำเนินงาน!O58+งบดำเนินงาน!O17+งบดำเนินงาน!O140</f>
        <v>16860928.199999999</v>
      </c>
      <c r="P65" s="201">
        <f t="shared" si="41"/>
        <v>86.175379219792873</v>
      </c>
      <c r="Q65" s="201">
        <f>+งบดำเนินงาน!Q58+งบดำเนินงาน!Q17+งบดำเนินงาน!Q140</f>
        <v>36784978.200000003</v>
      </c>
      <c r="R65" s="201">
        <f t="shared" si="42"/>
        <v>93.150392454978345</v>
      </c>
      <c r="S65" s="239"/>
      <c r="T65" s="239"/>
    </row>
    <row r="66" spans="1:20" s="206" customFormat="1" hidden="1">
      <c r="A66" s="202"/>
      <c r="B66" s="169" t="s">
        <v>75</v>
      </c>
      <c r="C66" s="203">
        <f>+งบดำเนินงาน!C59+งบดำเนินงาน!C17+งบดำเนินงาน!C140</f>
        <v>39489880</v>
      </c>
      <c r="D66" s="203">
        <f>+งบดำเนินงาน!D59+งบดำเนินงาน!D17+งบดำเนินงาน!D140</f>
        <v>19565830</v>
      </c>
      <c r="E66" s="203">
        <f>+งบดำเนินงาน!E59+งบดำเนินงาน!E17+งบดำเนินงาน!E140</f>
        <v>0</v>
      </c>
      <c r="F66" s="203">
        <f t="shared" si="36"/>
        <v>0</v>
      </c>
      <c r="G66" s="203">
        <f>+งบดำเนินงาน!G59+งบดำเนินงาน!G17+งบดำเนินงาน!G140</f>
        <v>92750</v>
      </c>
      <c r="H66" s="203">
        <f t="shared" si="37"/>
        <v>0.47404071281412546</v>
      </c>
      <c r="I66" s="203">
        <f>+งบดำเนินงาน!I59+งบดำเนินงาน!I17+งบดำเนินงาน!I140</f>
        <v>142508.38</v>
      </c>
      <c r="J66" s="203">
        <f t="shared" si="38"/>
        <v>0.72835335889149599</v>
      </c>
      <c r="K66" s="203">
        <f>+งบดำเนินงาน!K59+งบดำเนินงาน!K17+งบดำเนินงาน!K140</f>
        <v>2469643.4199999995</v>
      </c>
      <c r="L66" s="203">
        <f t="shared" si="39"/>
        <v>12.622226708501502</v>
      </c>
      <c r="M66" s="203">
        <f>+งบดำเนินงาน!M59+งบดำเนินงาน!M17+งบดำเนินงาน!M140</f>
        <v>2704901.8</v>
      </c>
      <c r="N66" s="203">
        <f t="shared" si="40"/>
        <v>13.824620780207127</v>
      </c>
      <c r="O66" s="203">
        <f>+งบดำเนินงาน!O59+งบดำเนินงาน!O17+งบดำเนินงาน!O140</f>
        <v>16860928.199999999</v>
      </c>
      <c r="P66" s="203">
        <f t="shared" si="41"/>
        <v>86.175379219792873</v>
      </c>
      <c r="Q66" s="203">
        <f>+งบดำเนินงาน!Q59+งบดำเนินงาน!Q17+งบดำเนินงาน!Q140</f>
        <v>36784978.200000003</v>
      </c>
      <c r="R66" s="203">
        <f t="shared" si="42"/>
        <v>93.150392454978345</v>
      </c>
      <c r="S66" s="239"/>
      <c r="T66" s="239"/>
    </row>
    <row r="67" spans="1:20" s="206" customFormat="1" hidden="1">
      <c r="A67" s="202"/>
      <c r="B67" s="169" t="s">
        <v>76</v>
      </c>
      <c r="C67" s="203">
        <f>+งบดำเนินงาน!C60</f>
        <v>0</v>
      </c>
      <c r="D67" s="203">
        <f>+งบดำเนินงาน!D60</f>
        <v>0</v>
      </c>
      <c r="E67" s="203">
        <f>+งบดำเนินงาน!E60</f>
        <v>0</v>
      </c>
      <c r="F67" s="203" t="e">
        <f t="shared" si="36"/>
        <v>#DIV/0!</v>
      </c>
      <c r="G67" s="203">
        <f>+งบดำเนินงาน!G60</f>
        <v>0</v>
      </c>
      <c r="H67" s="203" t="e">
        <f t="shared" si="37"/>
        <v>#DIV/0!</v>
      </c>
      <c r="I67" s="203">
        <f>+งบดำเนินงาน!I60</f>
        <v>0</v>
      </c>
      <c r="J67" s="203" t="e">
        <f t="shared" si="38"/>
        <v>#DIV/0!</v>
      </c>
      <c r="K67" s="203">
        <f>+งบดำเนินงาน!K60</f>
        <v>0</v>
      </c>
      <c r="L67" s="203" t="e">
        <f t="shared" si="39"/>
        <v>#DIV/0!</v>
      </c>
      <c r="M67" s="203">
        <f>+งบดำเนินงาน!M60</f>
        <v>0</v>
      </c>
      <c r="N67" s="203" t="e">
        <f t="shared" si="40"/>
        <v>#DIV/0!</v>
      </c>
      <c r="O67" s="203">
        <f>+งบดำเนินงาน!O60</f>
        <v>0</v>
      </c>
      <c r="P67" s="203" t="e">
        <f t="shared" si="41"/>
        <v>#DIV/0!</v>
      </c>
      <c r="Q67" s="203">
        <f>+งบดำเนินงาน!Q60</f>
        <v>0</v>
      </c>
      <c r="R67" s="203" t="e">
        <f t="shared" si="42"/>
        <v>#DIV/0!</v>
      </c>
      <c r="S67" s="239"/>
      <c r="T67" s="239"/>
    </row>
    <row r="68" spans="1:20" s="206" customFormat="1">
      <c r="A68" s="200">
        <v>19</v>
      </c>
      <c r="B68" s="168" t="s">
        <v>92</v>
      </c>
      <c r="C68" s="201">
        <f>+งบดำเนินงาน!C61+งบดำเนินงาน!C15+งบดำเนินงาน!C141</f>
        <v>21771105</v>
      </c>
      <c r="D68" s="201">
        <f>+งบดำเนินงาน!D61+งบดำเนินงาน!D15+งบดำเนินงาน!D141</f>
        <v>11244630</v>
      </c>
      <c r="E68" s="201">
        <f>+งบดำเนินงาน!E61+งบดำเนินงาน!E15+งบดำเนินงาน!E141</f>
        <v>0</v>
      </c>
      <c r="F68" s="201">
        <f t="shared" si="8"/>
        <v>0</v>
      </c>
      <c r="G68" s="201">
        <f>+งบดำเนินงาน!G61+งบดำเนินงาน!G15+งบดำเนินงาน!G141</f>
        <v>163219</v>
      </c>
      <c r="H68" s="201">
        <f t="shared" si="9"/>
        <v>1.4515284184539643</v>
      </c>
      <c r="I68" s="201">
        <f>+งบดำเนินงาน!I61+งบดำเนินงาน!I15+งบดำเนินงาน!I141</f>
        <v>30208.240000000002</v>
      </c>
      <c r="J68" s="201">
        <f t="shared" si="10"/>
        <v>0.26864592254258257</v>
      </c>
      <c r="K68" s="201">
        <f>+งบดำเนินงาน!K61+งบดำเนินงาน!K15+งบดำเนินงาน!K141</f>
        <v>1307048</v>
      </c>
      <c r="L68" s="201">
        <f t="shared" si="11"/>
        <v>11.623752849137766</v>
      </c>
      <c r="M68" s="201">
        <f>+งบดำเนินงาน!M61+งบดำเนินงาน!M15+งบดำเนินงาน!M141</f>
        <v>1500475.24</v>
      </c>
      <c r="N68" s="201">
        <f t="shared" si="12"/>
        <v>13.343927190134313</v>
      </c>
      <c r="O68" s="201">
        <f>+งบดำเนินงาน!O61+งบดำเนินงาน!O15+งบดำเนินงาน!O141</f>
        <v>9744154.7599999998</v>
      </c>
      <c r="P68" s="201">
        <f t="shared" si="13"/>
        <v>86.656072809865691</v>
      </c>
      <c r="Q68" s="201">
        <f>+งบดำเนินงาน!Q61+งบดำเนินงาน!Q15+งบดำเนินงาน!Q141</f>
        <v>20270629.759999998</v>
      </c>
      <c r="R68" s="201">
        <f t="shared" si="14"/>
        <v>93.107950928535772</v>
      </c>
      <c r="S68" s="239"/>
      <c r="T68" s="239"/>
    </row>
    <row r="69" spans="1:20" s="206" customFormat="1" hidden="1">
      <c r="A69" s="202"/>
      <c r="B69" s="169" t="s">
        <v>75</v>
      </c>
      <c r="C69" s="203">
        <f>+งบดำเนินงาน!C62+งบดำเนินงาน!C15+งบดำเนินงาน!C141</f>
        <v>21771105</v>
      </c>
      <c r="D69" s="203">
        <f>+งบดำเนินงาน!D62+งบดำเนินงาน!D15+งบดำเนินงาน!D141</f>
        <v>11244630</v>
      </c>
      <c r="E69" s="203">
        <f>+งบดำเนินงาน!E62+งบดำเนินงาน!E15+งบดำเนินงาน!E141</f>
        <v>0</v>
      </c>
      <c r="F69" s="203">
        <f t="shared" si="8"/>
        <v>0</v>
      </c>
      <c r="G69" s="203">
        <f>+งบดำเนินงาน!G62+งบดำเนินงาน!G15+งบดำเนินงาน!G141</f>
        <v>163219</v>
      </c>
      <c r="H69" s="203">
        <f t="shared" si="9"/>
        <v>1.4515284184539643</v>
      </c>
      <c r="I69" s="203">
        <f>+งบดำเนินงาน!I62+งบดำเนินงาน!I15+งบดำเนินงาน!I141</f>
        <v>30208.240000000002</v>
      </c>
      <c r="J69" s="203">
        <f t="shared" si="10"/>
        <v>0.26864592254258257</v>
      </c>
      <c r="K69" s="203">
        <f>+งบดำเนินงาน!K62+งบดำเนินงาน!K15+งบดำเนินงาน!K141</f>
        <v>1307048</v>
      </c>
      <c r="L69" s="203">
        <f t="shared" si="11"/>
        <v>11.623752849137766</v>
      </c>
      <c r="M69" s="203">
        <f>+งบดำเนินงาน!M62+งบดำเนินงาน!M15+งบดำเนินงาน!M141</f>
        <v>1500475.24</v>
      </c>
      <c r="N69" s="203">
        <f t="shared" si="12"/>
        <v>13.343927190134313</v>
      </c>
      <c r="O69" s="203">
        <f>+งบดำเนินงาน!O62+งบดำเนินงาน!O15+งบดำเนินงาน!O141</f>
        <v>9744154.7599999998</v>
      </c>
      <c r="P69" s="203">
        <f t="shared" si="13"/>
        <v>86.656072809865691</v>
      </c>
      <c r="Q69" s="203">
        <f>+งบดำเนินงาน!Q62+งบดำเนินงาน!Q15+งบดำเนินงาน!Q141</f>
        <v>20270629.759999998</v>
      </c>
      <c r="R69" s="203">
        <f t="shared" si="14"/>
        <v>93.107950928535772</v>
      </c>
      <c r="S69" s="239"/>
      <c r="T69" s="239"/>
    </row>
    <row r="70" spans="1:20" s="206" customFormat="1" hidden="1">
      <c r="A70" s="202"/>
      <c r="B70" s="169" t="s">
        <v>76</v>
      </c>
      <c r="C70" s="203">
        <f>+งบดำเนินงาน!C63</f>
        <v>0</v>
      </c>
      <c r="D70" s="203">
        <f>+งบดำเนินงาน!D63</f>
        <v>0</v>
      </c>
      <c r="E70" s="203">
        <f>+งบดำเนินงาน!E63</f>
        <v>0</v>
      </c>
      <c r="F70" s="203" t="e">
        <f t="shared" si="8"/>
        <v>#DIV/0!</v>
      </c>
      <c r="G70" s="203">
        <f>+งบดำเนินงาน!G63</f>
        <v>0</v>
      </c>
      <c r="H70" s="203" t="e">
        <f t="shared" si="9"/>
        <v>#DIV/0!</v>
      </c>
      <c r="I70" s="203">
        <f>+งบดำเนินงาน!I63</f>
        <v>0</v>
      </c>
      <c r="J70" s="203" t="e">
        <f t="shared" si="10"/>
        <v>#DIV/0!</v>
      </c>
      <c r="K70" s="203">
        <f>+งบดำเนินงาน!K63</f>
        <v>0</v>
      </c>
      <c r="L70" s="203" t="e">
        <f t="shared" si="11"/>
        <v>#DIV/0!</v>
      </c>
      <c r="M70" s="203">
        <f>+งบดำเนินงาน!M63</f>
        <v>0</v>
      </c>
      <c r="N70" s="203" t="e">
        <f t="shared" si="12"/>
        <v>#DIV/0!</v>
      </c>
      <c r="O70" s="203">
        <f>+งบดำเนินงาน!O63</f>
        <v>0</v>
      </c>
      <c r="P70" s="203" t="e">
        <f t="shared" si="13"/>
        <v>#DIV/0!</v>
      </c>
      <c r="Q70" s="203">
        <f>+งบดำเนินงาน!Q63</f>
        <v>0</v>
      </c>
      <c r="R70" s="203" t="e">
        <f t="shared" si="14"/>
        <v>#DIV/0!</v>
      </c>
      <c r="S70" s="239"/>
      <c r="T70" s="239"/>
    </row>
    <row r="71" spans="1:20" s="206" customFormat="1">
      <c r="A71" s="200">
        <v>20</v>
      </c>
      <c r="B71" s="204" t="s">
        <v>398</v>
      </c>
      <c r="C71" s="201">
        <f>+งบดำเนินงาน!C25+งบดำเนินงาน!C26+งบดำเนินงาน!C27+งบดำเนินงาน!C28+งบดำเนินงาน!C29+งบดำเนินงาน!C30+งบดำเนินงาน!C23</f>
        <v>22804800</v>
      </c>
      <c r="D71" s="201">
        <f>+งบดำเนินงาน!D25+งบดำเนินงาน!D26+งบดำเนินงาน!D27+งบดำเนินงาน!D28+งบดำเนินงาน!D29+งบดำเนินงาน!D30+งบดำเนินงาน!D23</f>
        <v>11402400</v>
      </c>
      <c r="E71" s="201">
        <f>+งบดำเนินงาน!E25+งบดำเนินงาน!E26+งบดำเนินงาน!E27+งบดำเนินงาน!E28+งบดำเนินงาน!E29+งบดำเนินงาน!E30+งบดำเนินงาน!E23</f>
        <v>0</v>
      </c>
      <c r="F71" s="201">
        <f t="shared" si="8"/>
        <v>0</v>
      </c>
      <c r="G71" s="201">
        <f>+งบดำเนินงาน!G25+งบดำเนินงาน!G26+งบดำเนินงาน!G27+งบดำเนินงาน!G28+งบดำเนินงาน!G29+งบดำเนินงาน!G30+งบดำเนินงาน!G23</f>
        <v>6000</v>
      </c>
      <c r="H71" s="201">
        <f t="shared" si="9"/>
        <v>5.2620500947169017E-2</v>
      </c>
      <c r="I71" s="201">
        <f>+งบดำเนินงาน!I25+งบดำเนินงาน!I26+งบดำเนินงาน!I27+งบดำเนินงาน!I28+งบดำเนินงาน!I29+งบดำเนินงาน!I30+งบดำเนินงาน!I23</f>
        <v>0</v>
      </c>
      <c r="J71" s="201">
        <f t="shared" si="10"/>
        <v>0</v>
      </c>
      <c r="K71" s="201">
        <f>+งบดำเนินงาน!K25+งบดำเนินงาน!K26+งบดำเนินงาน!K27+งบดำเนินงาน!K28+งบดำเนินงาน!K29+งบดำเนินงาน!K30+งบดำเนินงาน!K23</f>
        <v>5097023.22</v>
      </c>
      <c r="L71" s="201">
        <f t="shared" si="11"/>
        <v>44.701319195958746</v>
      </c>
      <c r="M71" s="201">
        <f>+งบดำเนินงาน!M25+งบดำเนินงาน!M26+งบดำเนินงาน!M27+งบดำเนินงาน!M28+งบดำเนินงาน!M29+งบดำเนินงาน!M30+งบดำเนินงาน!M23</f>
        <v>5103023.22</v>
      </c>
      <c r="N71" s="201">
        <f t="shared" si="12"/>
        <v>44.753939696905917</v>
      </c>
      <c r="O71" s="201">
        <f>+งบดำเนินงาน!O25+งบดำเนินงาน!O26+งบดำเนินงาน!O27+งบดำเนินงาน!O28+งบดำเนินงาน!O29+งบดำเนินงาน!O30+งบดำเนินงาน!O23</f>
        <v>6299376.7800000003</v>
      </c>
      <c r="P71" s="201">
        <f t="shared" si="13"/>
        <v>55.246060303094083</v>
      </c>
      <c r="Q71" s="201">
        <f>+งบดำเนินงาน!Q25+งบดำเนินงาน!Q26+งบดำเนินงาน!Q27+งบดำเนินงาน!Q28+งบดำเนินงาน!Q29+งบดำเนินงาน!Q30+งบดำเนินงาน!Q23</f>
        <v>17701776.780000001</v>
      </c>
      <c r="R71" s="201">
        <f t="shared" si="14"/>
        <v>77.623030151547042</v>
      </c>
      <c r="S71" s="239"/>
      <c r="T71" s="239"/>
    </row>
    <row r="72" spans="1:20" s="206" customFormat="1">
      <c r="A72" s="200">
        <v>21</v>
      </c>
      <c r="B72" s="204" t="s">
        <v>18</v>
      </c>
      <c r="C72" s="201">
        <f>+งบดำเนินงาน!C91</f>
        <v>34925100</v>
      </c>
      <c r="D72" s="201">
        <f>+งบดำเนินงาน!D91</f>
        <v>15970070</v>
      </c>
      <c r="E72" s="201">
        <f>+งบดำเนินงาน!E91</f>
        <v>131289</v>
      </c>
      <c r="F72" s="201">
        <f t="shared" si="8"/>
        <v>0.82209407973790971</v>
      </c>
      <c r="G72" s="201">
        <f>+งบดำเนินงาน!G91</f>
        <v>282866.52999999997</v>
      </c>
      <c r="H72" s="201">
        <f t="shared" si="9"/>
        <v>1.7712291179688002</v>
      </c>
      <c r="I72" s="201">
        <f>+งบดำเนินงาน!I91</f>
        <v>131449.25</v>
      </c>
      <c r="J72" s="201">
        <f t="shared" si="10"/>
        <v>0.82309751929703501</v>
      </c>
      <c r="K72" s="201">
        <f>+งบดำเนินงาน!K91</f>
        <v>7252988.21</v>
      </c>
      <c r="L72" s="201">
        <f t="shared" si="11"/>
        <v>45.416132866042538</v>
      </c>
      <c r="M72" s="201">
        <f>+งบดำเนินงาน!M91</f>
        <v>7798592.9900000002</v>
      </c>
      <c r="N72" s="201">
        <f t="shared" si="12"/>
        <v>48.832553583046284</v>
      </c>
      <c r="O72" s="201">
        <f>+งบดำเนินงาน!O91</f>
        <v>8171477.0099999998</v>
      </c>
      <c r="P72" s="201">
        <f t="shared" si="13"/>
        <v>51.167446416953716</v>
      </c>
      <c r="Q72" s="201">
        <f>+งบดำเนินงาน!Q91</f>
        <v>27126507.009999998</v>
      </c>
      <c r="R72" s="201">
        <f t="shared" si="14"/>
        <v>77.670520657063264</v>
      </c>
      <c r="S72" s="239"/>
      <c r="T72" s="239"/>
    </row>
    <row r="73" spans="1:20" s="206" customFormat="1">
      <c r="A73" s="200">
        <v>22</v>
      </c>
      <c r="B73" s="204" t="s">
        <v>48</v>
      </c>
      <c r="C73" s="201">
        <f>+งบดำเนินงาน!C122</f>
        <v>14359500</v>
      </c>
      <c r="D73" s="201">
        <f>+งบดำเนินงาน!D122</f>
        <v>6304750</v>
      </c>
      <c r="E73" s="201">
        <f>+งบดำเนินงาน!E122</f>
        <v>0</v>
      </c>
      <c r="F73" s="201">
        <f t="shared" si="8"/>
        <v>0</v>
      </c>
      <c r="G73" s="201">
        <f>+งบดำเนินงาน!G122</f>
        <v>0</v>
      </c>
      <c r="H73" s="201">
        <f t="shared" si="9"/>
        <v>0</v>
      </c>
      <c r="I73" s="201">
        <f>+งบดำเนินงาน!I122</f>
        <v>89600</v>
      </c>
      <c r="J73" s="201">
        <f t="shared" si="10"/>
        <v>1.4211507196954678</v>
      </c>
      <c r="K73" s="201">
        <f>+งบดำเนินงาน!K122</f>
        <v>112374</v>
      </c>
      <c r="L73" s="201">
        <f t="shared" si="11"/>
        <v>1.782370434989492</v>
      </c>
      <c r="M73" s="201">
        <f>+งบดำเนินงาน!M122</f>
        <v>201974</v>
      </c>
      <c r="N73" s="201">
        <f t="shared" si="12"/>
        <v>3.2035211546849598</v>
      </c>
      <c r="O73" s="201">
        <f>+งบดำเนินงาน!O122</f>
        <v>6102776</v>
      </c>
      <c r="P73" s="201">
        <f t="shared" si="13"/>
        <v>96.796478845315036</v>
      </c>
      <c r="Q73" s="201">
        <f>+งบดำเนินงาน!Q122</f>
        <v>14157526</v>
      </c>
      <c r="R73" s="201">
        <f t="shared" si="14"/>
        <v>98.593446847035068</v>
      </c>
      <c r="S73" s="239"/>
      <c r="T73" s="239"/>
    </row>
    <row r="74" spans="1:20" s="206" customFormat="1">
      <c r="A74" s="200">
        <v>23</v>
      </c>
      <c r="B74" s="204" t="s">
        <v>412</v>
      </c>
      <c r="C74" s="201">
        <f>+งบดำเนินงาน!C128</f>
        <v>11386500</v>
      </c>
      <c r="D74" s="201">
        <f>+งบดำเนินงาน!D128</f>
        <v>5036500</v>
      </c>
      <c r="E74" s="201">
        <f>+งบดำเนินงาน!E128</f>
        <v>0</v>
      </c>
      <c r="F74" s="201">
        <f t="shared" si="8"/>
        <v>0</v>
      </c>
      <c r="G74" s="201">
        <f>+งบดำเนินงาน!G128</f>
        <v>0</v>
      </c>
      <c r="H74" s="201">
        <f t="shared" si="9"/>
        <v>0</v>
      </c>
      <c r="I74" s="201">
        <f>+งบดำเนินงาน!I128</f>
        <v>0</v>
      </c>
      <c r="J74" s="201">
        <f t="shared" si="10"/>
        <v>0</v>
      </c>
      <c r="K74" s="201">
        <f>+งบดำเนินงาน!K128</f>
        <v>0</v>
      </c>
      <c r="L74" s="201">
        <f t="shared" si="11"/>
        <v>0</v>
      </c>
      <c r="M74" s="201">
        <f>+งบดำเนินงาน!M128</f>
        <v>0</v>
      </c>
      <c r="N74" s="201">
        <f t="shared" si="12"/>
        <v>0</v>
      </c>
      <c r="O74" s="201">
        <f>+งบดำเนินงาน!O128</f>
        <v>5036500</v>
      </c>
      <c r="P74" s="201">
        <f t="shared" si="13"/>
        <v>100</v>
      </c>
      <c r="Q74" s="201">
        <f>+งบดำเนินงาน!Q128</f>
        <v>11386500</v>
      </c>
      <c r="R74" s="201">
        <f t="shared" si="14"/>
        <v>100</v>
      </c>
      <c r="S74" s="239"/>
      <c r="T74" s="239"/>
    </row>
    <row r="75" spans="1:20" s="206" customFormat="1">
      <c r="A75" s="200">
        <v>24</v>
      </c>
      <c r="B75" s="204" t="s">
        <v>399</v>
      </c>
      <c r="C75" s="201">
        <f>+งบดำเนินงาน!C130+งบดำเนินงาน!C136</f>
        <v>16767576</v>
      </c>
      <c r="D75" s="201">
        <f>+งบดำเนินงาน!D130+งบดำเนินงาน!D136</f>
        <v>7524746</v>
      </c>
      <c r="E75" s="201">
        <f>+งบดำเนินงาน!E130+งบดำเนินงาน!E136</f>
        <v>0</v>
      </c>
      <c r="F75" s="201">
        <f t="shared" ref="F75:F76" si="43">+E75*100/$D75</f>
        <v>0</v>
      </c>
      <c r="G75" s="201">
        <f>+งบดำเนินงาน!G130+งบดำเนินงาน!G136</f>
        <v>0</v>
      </c>
      <c r="H75" s="201">
        <f t="shared" ref="H75:H77" si="44">+G75*100/$D75</f>
        <v>0</v>
      </c>
      <c r="I75" s="201">
        <f>+งบดำเนินงาน!I130+งบดำเนินงาน!I136</f>
        <v>0</v>
      </c>
      <c r="J75" s="201">
        <f t="shared" ref="J75:J77" si="45">+I75*100/$D75</f>
        <v>0</v>
      </c>
      <c r="K75" s="201">
        <f>+งบดำเนินงาน!K130+งบดำเนินงาน!K136</f>
        <v>0</v>
      </c>
      <c r="L75" s="201">
        <f t="shared" ref="L75:L77" si="46">+K75*100/$D75</f>
        <v>0</v>
      </c>
      <c r="M75" s="201">
        <f>+งบดำเนินงาน!M130+งบดำเนินงาน!M136</f>
        <v>0</v>
      </c>
      <c r="N75" s="201">
        <f t="shared" ref="N75:N77" si="47">+M75*100/$D75</f>
        <v>0</v>
      </c>
      <c r="O75" s="201">
        <f>+งบดำเนินงาน!O130+งบดำเนินงาน!O136</f>
        <v>7524746</v>
      </c>
      <c r="P75" s="201">
        <f t="shared" ref="P75:P77" si="48">+O75*100/$D75</f>
        <v>100</v>
      </c>
      <c r="Q75" s="201">
        <f>+งบดำเนินงาน!Q130+งบดำเนินงาน!Q136</f>
        <v>16767576</v>
      </c>
      <c r="R75" s="201">
        <f t="shared" ref="R75:R77" si="49">+Q75*100/C75</f>
        <v>100</v>
      </c>
      <c r="S75" s="239"/>
      <c r="T75" s="239"/>
    </row>
    <row r="76" spans="1:20" s="206" customFormat="1">
      <c r="A76" s="269">
        <v>25</v>
      </c>
      <c r="B76" s="270" t="s">
        <v>101</v>
      </c>
      <c r="C76" s="259">
        <f>+'ยอดเบิกตาม GFMIS'!B88</f>
        <v>858220</v>
      </c>
      <c r="D76" s="259">
        <f>+'ยอดเบิกตาม GFMIS'!C88</f>
        <v>858220</v>
      </c>
      <c r="E76" s="259">
        <f>+'ยอดเบิกตาม GFMIS'!D88</f>
        <v>0</v>
      </c>
      <c r="F76" s="258">
        <f t="shared" si="43"/>
        <v>0</v>
      </c>
      <c r="G76" s="259">
        <f>+'ยอดเบิกตาม GFMIS'!F88</f>
        <v>0</v>
      </c>
      <c r="H76" s="258">
        <f t="shared" si="44"/>
        <v>0</v>
      </c>
      <c r="I76" s="259">
        <f>+'ยอดเบิกตาม GFMIS'!H88</f>
        <v>7800</v>
      </c>
      <c r="J76" s="258">
        <f t="shared" si="45"/>
        <v>0.90885786861177786</v>
      </c>
      <c r="K76" s="259">
        <f>+'ยอดเบิกตาม GFMIS'!J88</f>
        <v>4243.59</v>
      </c>
      <c r="L76" s="258">
        <f t="shared" si="46"/>
        <v>0.49446412341823776</v>
      </c>
      <c r="M76" s="259">
        <f>+'ยอดเบิกตาม GFMIS'!L88</f>
        <v>12043.59</v>
      </c>
      <c r="N76" s="258">
        <f t="shared" si="47"/>
        <v>1.4033219920300155</v>
      </c>
      <c r="O76" s="259">
        <f>+D76-M76</f>
        <v>846176.41</v>
      </c>
      <c r="P76" s="258">
        <f t="shared" si="48"/>
        <v>98.596678007969984</v>
      </c>
      <c r="Q76" s="259">
        <f>+C76-M76</f>
        <v>846176.41</v>
      </c>
      <c r="R76" s="258">
        <f t="shared" si="49"/>
        <v>98.596678007969984</v>
      </c>
      <c r="S76" s="239"/>
      <c r="T76" s="239"/>
    </row>
    <row r="77" spans="1:20" s="206" customFormat="1" ht="21.75" thickBot="1">
      <c r="A77" s="1079" t="s">
        <v>11</v>
      </c>
      <c r="B77" s="1080"/>
      <c r="C77" s="205">
        <f>+C28+C13+C19+C38+C53+C35+C25+C44+C10+C16+C62+C68+C50+C59+C47+C41+C65+C22+C56+C71+C72+C73+C74+C75+C76</f>
        <v>274545000</v>
      </c>
      <c r="D77" s="205">
        <f>+D28+D13+D19+D38+D53+D35+D25+D44+D10+D16+D62+D68+D50+D59+D47+D41+D65+D22+D56+D71+D72+D73+D74+D75+D76</f>
        <v>137064900</v>
      </c>
      <c r="E77" s="205">
        <f>+E28+E13+E19+E38+E53+E35+E25+E44+E10+E16+E62+E68+E50+E59+E47+E41+E65+E22+E56+E71+E72+E73+E74+E75+E76</f>
        <v>302249</v>
      </c>
      <c r="F77" s="205">
        <f t="shared" si="8"/>
        <v>0.22051524496789476</v>
      </c>
      <c r="G77" s="205">
        <f>+G28+G13+G19+G38+G53+G35+G25+G44+G10+G16+G62+G68+G50+G59+G47+G41+G65+G22+G56+G71+G72+G73+G74+G75+G76</f>
        <v>1629085.1199999999</v>
      </c>
      <c r="H77" s="205">
        <f t="shared" si="44"/>
        <v>1.1885501831614074</v>
      </c>
      <c r="I77" s="205">
        <f>+I28+I13+I19+I38+I53+I35+I25+I44+I10+I16+I62+I68+I50+I59+I47+I41+I65+I22+I56+I71+I72+I73+I74+I75+I76</f>
        <v>1163090.8500000001</v>
      </c>
      <c r="J77" s="205">
        <f t="shared" si="45"/>
        <v>0.84856943681423924</v>
      </c>
      <c r="K77" s="205">
        <f>+K28+K13+K19+K38+K53+K35+K25+K44+K10+K16+K62+K68+K50+K59+K47+K41+K65+K22+K56+K71+K72+K73+K74+K75+K76</f>
        <v>33285047.229999993</v>
      </c>
      <c r="L77" s="205">
        <f t="shared" si="46"/>
        <v>24.284150960603331</v>
      </c>
      <c r="M77" s="205">
        <f>+M28+M13+M19+M38+M53+M35+M25+M44+M10+M16+M62+M68+M50+M59+M47+M41+M65+M22+M56+M71+M72+M73+M74+M75+M76</f>
        <v>36379472.200000003</v>
      </c>
      <c r="N77" s="205">
        <f t="shared" si="47"/>
        <v>26.541785825546878</v>
      </c>
      <c r="O77" s="205">
        <f>+O28+O13+O19+O38+O53+O35+O25+O44+O10+O16+O62+O68+O50+O59+O47+O41+O65+O22+O56+O71+O72+O73+O74+O75+O76</f>
        <v>100685427.80000001</v>
      </c>
      <c r="P77" s="205">
        <f t="shared" si="48"/>
        <v>73.458214174453133</v>
      </c>
      <c r="Q77" s="205">
        <f>+Q28+Q13+Q19+Q38+Q53+Q35+Q25+Q44+Q10+Q16+Q62+Q68+Q50+Q59+Q47+Q41+Q65+Q22+Q56+Q71+Q72+Q73+Q74+Q75+Q76</f>
        <v>238165527.79999998</v>
      </c>
      <c r="R77" s="205">
        <f t="shared" si="49"/>
        <v>86.749176929100869</v>
      </c>
      <c r="S77" s="239"/>
      <c r="T77" s="239"/>
    </row>
    <row r="78" spans="1:20" s="208" customFormat="1" ht="21.75" thickTop="1">
      <c r="A78" s="176"/>
      <c r="B78" s="177"/>
      <c r="C78" s="178"/>
      <c r="D78" s="178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239"/>
      <c r="T78" s="239"/>
    </row>
    <row r="79" spans="1:20" s="208" customFormat="1">
      <c r="A79" s="176"/>
      <c r="B79" s="177"/>
      <c r="C79" s="178"/>
      <c r="D79" s="178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39"/>
      <c r="T79" s="239"/>
    </row>
    <row r="80" spans="1:20" s="208" customFormat="1">
      <c r="A80" s="176"/>
      <c r="B80" s="177"/>
      <c r="C80" s="178"/>
      <c r="D80" s="178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39"/>
      <c r="T80" s="239"/>
    </row>
    <row r="81" spans="1:20" s="208" customFormat="1">
      <c r="A81" s="176"/>
      <c r="B81" s="177"/>
      <c r="C81" s="178"/>
      <c r="D81" s="178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39"/>
      <c r="T81" s="239"/>
    </row>
    <row r="82" spans="1:20" s="208" customFormat="1">
      <c r="A82" s="176"/>
      <c r="B82" s="177"/>
      <c r="C82" s="178"/>
      <c r="D82" s="178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39"/>
      <c r="T82" s="239"/>
    </row>
    <row r="83" spans="1:20" s="208" customFormat="1">
      <c r="A83" s="176"/>
      <c r="B83" s="177"/>
      <c r="C83" s="178"/>
      <c r="D83" s="178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39"/>
      <c r="T83" s="239"/>
    </row>
    <row r="84" spans="1:20">
      <c r="A84" s="179" t="s">
        <v>308</v>
      </c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74"/>
      <c r="Q84" s="173"/>
      <c r="R84" s="173"/>
      <c r="S84" s="239"/>
      <c r="T84" s="239"/>
    </row>
    <row r="85" spans="1:20" s="206" customFormat="1" ht="21" customHeight="1">
      <c r="A85" s="1076" t="s">
        <v>106</v>
      </c>
      <c r="B85" s="1077" t="s">
        <v>167</v>
      </c>
      <c r="C85" s="1073" t="s">
        <v>118</v>
      </c>
      <c r="D85" s="1078" t="s">
        <v>131</v>
      </c>
      <c r="E85" s="1075" t="s">
        <v>5</v>
      </c>
      <c r="F85" s="1075"/>
      <c r="G85" s="1064" t="s">
        <v>6</v>
      </c>
      <c r="H85" s="1064"/>
      <c r="I85" s="1065" t="s">
        <v>7</v>
      </c>
      <c r="J85" s="1065"/>
      <c r="K85" s="1066" t="s">
        <v>127</v>
      </c>
      <c r="L85" s="1066"/>
      <c r="M85" s="1067" t="s">
        <v>121</v>
      </c>
      <c r="N85" s="1067"/>
      <c r="O85" s="1063" t="s">
        <v>128</v>
      </c>
      <c r="P85" s="1063"/>
      <c r="Q85" s="1063" t="s">
        <v>129</v>
      </c>
      <c r="R85" s="1063"/>
      <c r="S85" s="239"/>
      <c r="T85" s="239"/>
    </row>
    <row r="86" spans="1:20" s="206" customFormat="1">
      <c r="A86" s="1076"/>
      <c r="B86" s="1077"/>
      <c r="C86" s="1074"/>
      <c r="D86" s="1078"/>
      <c r="E86" s="207" t="s">
        <v>119</v>
      </c>
      <c r="F86" s="207" t="s">
        <v>124</v>
      </c>
      <c r="G86" s="207" t="s">
        <v>119</v>
      </c>
      <c r="H86" s="207" t="s">
        <v>124</v>
      </c>
      <c r="I86" s="207" t="s">
        <v>119</v>
      </c>
      <c r="J86" s="207" t="s">
        <v>124</v>
      </c>
      <c r="K86" s="207" t="s">
        <v>119</v>
      </c>
      <c r="L86" s="207" t="s">
        <v>124</v>
      </c>
      <c r="M86" s="207" t="s">
        <v>119</v>
      </c>
      <c r="N86" s="207" t="s">
        <v>124</v>
      </c>
      <c r="O86" s="207" t="s">
        <v>119</v>
      </c>
      <c r="P86" s="207" t="s">
        <v>124</v>
      </c>
      <c r="Q86" s="207" t="s">
        <v>119</v>
      </c>
      <c r="R86" s="207" t="s">
        <v>124</v>
      </c>
      <c r="S86" s="239"/>
      <c r="T86" s="239"/>
    </row>
    <row r="87" spans="1:20">
      <c r="A87" s="181" t="s">
        <v>207</v>
      </c>
      <c r="B87" s="181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3"/>
      <c r="S87" s="239"/>
      <c r="T87" s="239"/>
    </row>
    <row r="88" spans="1:20" s="186" customFormat="1">
      <c r="A88" s="184" t="s">
        <v>208</v>
      </c>
      <c r="B88" s="184"/>
      <c r="C88" s="185">
        <f>+C89+C93+C91+C94+C99+C97+C92+C98+C95+C90+C96</f>
        <v>17576410</v>
      </c>
      <c r="D88" s="185">
        <f>+D89+D93+D91+D94+D99+D97+D92+D98+D95+D90+D96</f>
        <v>17576410</v>
      </c>
      <c r="E88" s="185">
        <f>+E89+E93+E91+E94+E99+E97+E92+E98+E95+E90+E96</f>
        <v>1408363.73</v>
      </c>
      <c r="F88" s="185">
        <f>+E88*100/$D88</f>
        <v>8.01280654012964</v>
      </c>
      <c r="G88" s="185">
        <f>+G89+G93+G91+G94+G99+G97+G92+G98+G95+G90+G96</f>
        <v>0</v>
      </c>
      <c r="H88" s="185">
        <f>+G88*100/$D88</f>
        <v>0</v>
      </c>
      <c r="I88" s="185">
        <f>+I89+I93+I91+I94+I99+I97+I92+I98+I95+I90+I96</f>
        <v>0</v>
      </c>
      <c r="J88" s="185">
        <f>+I88*100/$D88</f>
        <v>0</v>
      </c>
      <c r="K88" s="185">
        <f>+K89+K93+K91+K94+K99+K97+K92+K98+K95+K90+K96</f>
        <v>1125127.3999999999</v>
      </c>
      <c r="L88" s="185">
        <f>+K88*100/$D88</f>
        <v>6.4013493085334252</v>
      </c>
      <c r="M88" s="185">
        <f t="shared" ref="M88:M98" si="50">+E88+G88+I88+K88</f>
        <v>2533491.13</v>
      </c>
      <c r="N88" s="185">
        <f>+M88*100/$D88</f>
        <v>14.414155848663066</v>
      </c>
      <c r="O88" s="185">
        <f>+O89+O93+O91+O94+O99+O97+O92+O98+O95+O90+O96</f>
        <v>15042918.869999999</v>
      </c>
      <c r="P88" s="185">
        <f>+O88*100/$D88</f>
        <v>85.585844151336929</v>
      </c>
      <c r="Q88" s="185">
        <f t="shared" ref="Q88:Q105" si="51">+C88-M88</f>
        <v>15042918.870000001</v>
      </c>
      <c r="R88" s="185">
        <f>+Q88*100/$D88</f>
        <v>85.585844151336929</v>
      </c>
      <c r="S88" s="239"/>
      <c r="T88" s="239"/>
    </row>
    <row r="89" spans="1:20" s="186" customFormat="1">
      <c r="A89" s="187">
        <v>1</v>
      </c>
      <c r="B89" s="188" t="s">
        <v>82</v>
      </c>
      <c r="C89" s="189">
        <f>+'[23]สรุปแยกจัดซื้อ-จัดจ้าง'!$C7</f>
        <v>9600</v>
      </c>
      <c r="D89" s="190">
        <f>+'[23]สรุปแยกจัดซื้อ-จัดจ้าง'!$E7</f>
        <v>9600</v>
      </c>
      <c r="E89" s="190">
        <f>+'[23]สรุปแยกจัดซื้อ-จัดจ้าง'!$F7</f>
        <v>0</v>
      </c>
      <c r="F89" s="191">
        <f t="shared" ref="F89:H106" si="52">+E89*100/$D89</f>
        <v>0</v>
      </c>
      <c r="G89" s="190">
        <f>+'[23]สรุปแยกจัดซื้อ-จัดจ้าง'!$G7</f>
        <v>0</v>
      </c>
      <c r="H89" s="191">
        <f t="shared" si="52"/>
        <v>0</v>
      </c>
      <c r="I89" s="190">
        <f>+'[23]สรุปแยกจัดซื้อ-จัดจ้าง'!$H7</f>
        <v>0</v>
      </c>
      <c r="J89" s="191">
        <f t="shared" ref="J89" si="53">+I89*100/$D89</f>
        <v>0</v>
      </c>
      <c r="K89" s="190">
        <f>+'[23]สรุปแยกจัดซื้อ-จัดจ้าง'!$I7</f>
        <v>9600</v>
      </c>
      <c r="L89" s="191">
        <f t="shared" ref="L89" si="54">+K89*100/$D89</f>
        <v>100</v>
      </c>
      <c r="M89" s="190">
        <f t="shared" si="50"/>
        <v>9600</v>
      </c>
      <c r="N89" s="191">
        <f t="shared" ref="N89" si="55">+M89*100/$D89</f>
        <v>100</v>
      </c>
      <c r="O89" s="190">
        <f>+D89-M89</f>
        <v>0</v>
      </c>
      <c r="P89" s="191">
        <f t="shared" ref="P89" si="56">+O89*100/$D89</f>
        <v>0</v>
      </c>
      <c r="Q89" s="190">
        <f t="shared" si="51"/>
        <v>0</v>
      </c>
      <c r="R89" s="191">
        <f t="shared" ref="R89" si="57">+Q89*100/$D89</f>
        <v>0</v>
      </c>
      <c r="S89" s="239"/>
      <c r="T89" s="239"/>
    </row>
    <row r="90" spans="1:20" s="186" customFormat="1">
      <c r="A90" s="187">
        <v>2</v>
      </c>
      <c r="B90" s="188" t="s">
        <v>58</v>
      </c>
      <c r="C90" s="189">
        <f>+'[23]สรุปแยกจัดซื้อ-จัดจ้าง'!$C16</f>
        <v>9900</v>
      </c>
      <c r="D90" s="190">
        <f>+'[23]สรุปแยกจัดซื้อ-จัดจ้าง'!$E16</f>
        <v>9900</v>
      </c>
      <c r="E90" s="190">
        <f>+'[23]สรุปแยกจัดซื้อ-จัดจ้าง'!$F16</f>
        <v>0</v>
      </c>
      <c r="F90" s="191">
        <f>+E90*100/$D90</f>
        <v>0</v>
      </c>
      <c r="G90" s="190">
        <f>+'[23]สรุปแยกจัดซื้อ-จัดจ้าง'!$G16</f>
        <v>0</v>
      </c>
      <c r="H90" s="191">
        <f>+G90*100/$D90</f>
        <v>0</v>
      </c>
      <c r="I90" s="190">
        <f>+'[23]สรุปแยกจัดซื้อ-จัดจ้าง'!$H16</f>
        <v>0</v>
      </c>
      <c r="J90" s="191">
        <f>+I90*100/$D90</f>
        <v>0</v>
      </c>
      <c r="K90" s="190">
        <f>+'[23]สรุปแยกจัดซื้อ-จัดจ้าง'!$I16</f>
        <v>9900</v>
      </c>
      <c r="L90" s="191">
        <f>+K90*100/$D90</f>
        <v>100</v>
      </c>
      <c r="M90" s="190">
        <f>+E90+G90+I90+K90</f>
        <v>9900</v>
      </c>
      <c r="N90" s="191">
        <f>+M90*100/$D90</f>
        <v>100</v>
      </c>
      <c r="O90" s="190">
        <f>+D90-M90</f>
        <v>0</v>
      </c>
      <c r="P90" s="191">
        <f>+O90*100/$D90</f>
        <v>0</v>
      </c>
      <c r="Q90" s="190">
        <f>+C90-M90</f>
        <v>0</v>
      </c>
      <c r="R90" s="191">
        <f>+Q90*100/$D90</f>
        <v>0</v>
      </c>
      <c r="S90" s="239"/>
      <c r="T90" s="239"/>
    </row>
    <row r="91" spans="1:20" s="186" customFormat="1">
      <c r="A91" s="187">
        <v>3</v>
      </c>
      <c r="B91" s="188" t="s">
        <v>83</v>
      </c>
      <c r="C91" s="189">
        <f>+'[23]สรุปแยกจัดซื้อ-จัดจ้าง'!$C9</f>
        <v>57600</v>
      </c>
      <c r="D91" s="190">
        <f>+'[23]สรุปแยกจัดซื้อ-จัดจ้าง'!$E9</f>
        <v>57600</v>
      </c>
      <c r="E91" s="190">
        <f>+'[23]สรุปแยกจัดซื้อ-จัดจ้าง'!$F9</f>
        <v>0</v>
      </c>
      <c r="F91" s="191">
        <f>+E91*100/$D91</f>
        <v>0</v>
      </c>
      <c r="G91" s="190">
        <f>+'[23]สรุปแยกจัดซื้อ-จัดจ้าง'!$G9</f>
        <v>0</v>
      </c>
      <c r="H91" s="191">
        <f>+G91*100/$D91</f>
        <v>0</v>
      </c>
      <c r="I91" s="190">
        <f>+'[23]สรุปแยกจัดซื้อ-จัดจ้าง'!$H9</f>
        <v>0</v>
      </c>
      <c r="J91" s="191">
        <f>+I91*100/$D91</f>
        <v>0</v>
      </c>
      <c r="K91" s="190">
        <f>+'[23]สรุปแยกจัดซื้อ-จัดจ้าง'!$I9</f>
        <v>56900</v>
      </c>
      <c r="L91" s="191">
        <f>+K91*100/$D91</f>
        <v>98.784722222222229</v>
      </c>
      <c r="M91" s="190">
        <f t="shared" si="50"/>
        <v>56900</v>
      </c>
      <c r="N91" s="191">
        <f>+M91*100/$D91</f>
        <v>98.784722222222229</v>
      </c>
      <c r="O91" s="190">
        <f t="shared" ref="O91:O105" si="58">+D91-M91</f>
        <v>700</v>
      </c>
      <c r="P91" s="191">
        <f>+O91*100/$D91</f>
        <v>1.2152777777777777</v>
      </c>
      <c r="Q91" s="190">
        <f>+C91-M91</f>
        <v>700</v>
      </c>
      <c r="R91" s="191">
        <f>+Q91*100/$D91</f>
        <v>1.2152777777777777</v>
      </c>
      <c r="S91" s="239"/>
      <c r="T91" s="239"/>
    </row>
    <row r="92" spans="1:20" s="186" customFormat="1">
      <c r="A92" s="187">
        <v>4</v>
      </c>
      <c r="B92" s="188" t="s">
        <v>92</v>
      </c>
      <c r="C92" s="189">
        <f>+'[23]สรุปแยกจัดซื้อ-จัดจ้าง'!$C13</f>
        <v>59800</v>
      </c>
      <c r="D92" s="190">
        <f>+'[23]สรุปแยกจัดซื้อ-จัดจ้าง'!$E13</f>
        <v>59800</v>
      </c>
      <c r="E92" s="190">
        <f>+'[23]สรุปแยกจัดซื้อ-จัดจ้าง'!$F13</f>
        <v>0</v>
      </c>
      <c r="F92" s="191">
        <f>+E92*100/$D92</f>
        <v>0</v>
      </c>
      <c r="G92" s="190">
        <f>+'[23]สรุปแยกจัดซื้อ-จัดจ้าง'!$G13</f>
        <v>0</v>
      </c>
      <c r="H92" s="191">
        <f>+G92*100/$D92</f>
        <v>0</v>
      </c>
      <c r="I92" s="190">
        <f>+'[23]สรุปแยกจัดซื้อ-จัดจ้าง'!$H13</f>
        <v>0</v>
      </c>
      <c r="J92" s="191">
        <f>+I92*100/$D92</f>
        <v>0</v>
      </c>
      <c r="K92" s="190">
        <f>+'[23]สรุปแยกจัดซื้อ-จัดจ้าง'!$I13</f>
        <v>58360</v>
      </c>
      <c r="L92" s="191">
        <f>+K92*100/$D92</f>
        <v>97.591973244147155</v>
      </c>
      <c r="M92" s="190">
        <f t="shared" si="50"/>
        <v>58360</v>
      </c>
      <c r="N92" s="191">
        <f>+M92*100/$D92</f>
        <v>97.591973244147155</v>
      </c>
      <c r="O92" s="190">
        <f t="shared" si="58"/>
        <v>1440</v>
      </c>
      <c r="P92" s="191">
        <f>+O92*100/$D92</f>
        <v>2.408026755852843</v>
      </c>
      <c r="Q92" s="190">
        <f>+C92-M92</f>
        <v>1440</v>
      </c>
      <c r="R92" s="191">
        <f>+Q92*100/$D92</f>
        <v>2.408026755852843</v>
      </c>
      <c r="S92" s="239"/>
      <c r="T92" s="239"/>
    </row>
    <row r="93" spans="1:20" s="186" customFormat="1">
      <c r="A93" s="187">
        <v>5</v>
      </c>
      <c r="B93" s="188" t="s">
        <v>78</v>
      </c>
      <c r="C93" s="189">
        <f>+'[23]สรุปแยกจัดซื้อ-จัดจ้าง'!$C8</f>
        <v>204700</v>
      </c>
      <c r="D93" s="190">
        <f>+'[23]สรุปแยกจัดซื้อ-จัดจ้าง'!$E8</f>
        <v>204700</v>
      </c>
      <c r="E93" s="190">
        <f>+'[23]สรุปแยกจัดซื้อ-จัดจ้าง'!$F8</f>
        <v>0</v>
      </c>
      <c r="F93" s="191">
        <f t="shared" si="52"/>
        <v>0</v>
      </c>
      <c r="G93" s="190">
        <f>+'[23]สรุปแยกจัดซื้อ-จัดจ้าง'!$G8</f>
        <v>0</v>
      </c>
      <c r="H93" s="191">
        <f t="shared" si="52"/>
        <v>0</v>
      </c>
      <c r="I93" s="190">
        <f>+'[23]สรุปแยกจัดซื้อ-จัดจ้าง'!$H8</f>
        <v>0</v>
      </c>
      <c r="J93" s="191">
        <f t="shared" ref="J93" si="59">+I93*100/$D93</f>
        <v>0</v>
      </c>
      <c r="K93" s="190">
        <f>+'[23]สรุปแยกจัดซื้อ-จัดจ้าง'!$I8</f>
        <v>178030.4</v>
      </c>
      <c r="L93" s="191">
        <f t="shared" ref="L93" si="60">+K93*100/$D93</f>
        <v>86.971372740595996</v>
      </c>
      <c r="M93" s="190">
        <f t="shared" si="50"/>
        <v>178030.4</v>
      </c>
      <c r="N93" s="191">
        <f t="shared" ref="N93" si="61">+M93*100/$D93</f>
        <v>86.971372740595996</v>
      </c>
      <c r="O93" s="190">
        <f t="shared" si="58"/>
        <v>26669.600000000006</v>
      </c>
      <c r="P93" s="191">
        <f t="shared" ref="P93" si="62">+O93*100/$D93</f>
        <v>13.028627259404008</v>
      </c>
      <c r="Q93" s="190">
        <f t="shared" si="51"/>
        <v>26669.600000000006</v>
      </c>
      <c r="R93" s="191">
        <f t="shared" ref="R93" si="63">+Q93*100/$D93</f>
        <v>13.028627259404008</v>
      </c>
      <c r="S93" s="239"/>
      <c r="T93" s="239"/>
    </row>
    <row r="94" spans="1:20" s="186" customFormat="1">
      <c r="A94" s="187">
        <v>6</v>
      </c>
      <c r="B94" s="188" t="s">
        <v>81</v>
      </c>
      <c r="C94" s="189">
        <f>+'[23]สรุปแยกจัดซื้อ-จัดจ้าง'!$C10</f>
        <v>138900</v>
      </c>
      <c r="D94" s="190">
        <f>+'[23]สรุปแยกจัดซื้อ-จัดจ้าง'!$E10</f>
        <v>138900</v>
      </c>
      <c r="E94" s="190">
        <f>+'[23]สรุปแยกจัดซื้อ-จัดจ้าง'!$F10</f>
        <v>0</v>
      </c>
      <c r="F94" s="191">
        <f>+E94*100/$D94</f>
        <v>0</v>
      </c>
      <c r="G94" s="190">
        <f>+'[23]สรุปแยกจัดซื้อ-จัดจ้าง'!$G10</f>
        <v>0</v>
      </c>
      <c r="H94" s="191">
        <f>+G94*100/$D94</f>
        <v>0</v>
      </c>
      <c r="I94" s="190">
        <f>+'[23]สรุปแยกจัดซื้อ-จัดจ้าง'!$H10</f>
        <v>0</v>
      </c>
      <c r="J94" s="191">
        <f>+I94*100/$D94</f>
        <v>0</v>
      </c>
      <c r="K94" s="190">
        <f>+'[23]สรุปแยกจัดซื้อ-จัดจ้าง'!$I10</f>
        <v>113475</v>
      </c>
      <c r="L94" s="191">
        <f>+K94*100/$D94</f>
        <v>81.69546436285097</v>
      </c>
      <c r="M94" s="190">
        <f>+E94+G94+I94+K94</f>
        <v>113475</v>
      </c>
      <c r="N94" s="191">
        <f>+M94*100/$D94</f>
        <v>81.69546436285097</v>
      </c>
      <c r="O94" s="190">
        <f>+D94-M94</f>
        <v>25425</v>
      </c>
      <c r="P94" s="191">
        <f>+O94*100/$D94</f>
        <v>18.304535637149026</v>
      </c>
      <c r="Q94" s="190">
        <f>+C94-M94</f>
        <v>25425</v>
      </c>
      <c r="R94" s="191">
        <f>+Q94*100/$D94</f>
        <v>18.304535637149026</v>
      </c>
      <c r="S94" s="239"/>
      <c r="T94" s="239"/>
    </row>
    <row r="95" spans="1:20" s="186" customFormat="1">
      <c r="A95" s="187">
        <v>7</v>
      </c>
      <c r="B95" s="188" t="s">
        <v>255</v>
      </c>
      <c r="C95" s="189">
        <f>+'[23]สรุปแยกจัดซื้อ-จัดจ้าง'!$C15</f>
        <v>100800</v>
      </c>
      <c r="D95" s="190">
        <f>+'[23]สรุปแยกจัดซื้อ-จัดจ้าง'!$E15</f>
        <v>100800</v>
      </c>
      <c r="E95" s="190">
        <f>+'[23]สรุปแยกจัดซื้อ-จัดจ้าง'!$F15</f>
        <v>0</v>
      </c>
      <c r="F95" s="191">
        <f>+E95*100/$D95</f>
        <v>0</v>
      </c>
      <c r="G95" s="190">
        <f>+'[23]สรุปแยกจัดซื้อ-จัดจ้าง'!$G15</f>
        <v>0</v>
      </c>
      <c r="H95" s="191">
        <f>+G95*100/$D95</f>
        <v>0</v>
      </c>
      <c r="I95" s="190">
        <f>+'[23]สรุปแยกจัดซื้อ-จัดจ้าง'!$H15</f>
        <v>0</v>
      </c>
      <c r="J95" s="191">
        <f>+I95*100/$D95</f>
        <v>0</v>
      </c>
      <c r="K95" s="190">
        <f>+'[23]สรุปแยกจัดซื้อ-จัดจ้าง'!$I15</f>
        <v>72332</v>
      </c>
      <c r="L95" s="191">
        <f>+K95*100/$D95</f>
        <v>71.757936507936506</v>
      </c>
      <c r="M95" s="190">
        <f>+E95+G95+I95+K95</f>
        <v>72332</v>
      </c>
      <c r="N95" s="191">
        <f>+M95*100/$D95</f>
        <v>71.757936507936506</v>
      </c>
      <c r="O95" s="190">
        <f>+D95-M95</f>
        <v>28468</v>
      </c>
      <c r="P95" s="191">
        <f>+O95*100/$D95</f>
        <v>28.24206349206349</v>
      </c>
      <c r="Q95" s="190">
        <f>+C95-M95</f>
        <v>28468</v>
      </c>
      <c r="R95" s="191">
        <f>+Q95*100/$D95</f>
        <v>28.24206349206349</v>
      </c>
      <c r="S95" s="239"/>
      <c r="T95" s="239"/>
    </row>
    <row r="96" spans="1:20" s="186" customFormat="1">
      <c r="A96" s="187">
        <v>8</v>
      </c>
      <c r="B96" s="188" t="s">
        <v>98</v>
      </c>
      <c r="C96" s="189">
        <f>+'[23]สรุปแยกจัดซื้อ-จัดจ้าง'!$C17</f>
        <v>2375300</v>
      </c>
      <c r="D96" s="190">
        <f>+'[23]สรุปแยกจัดซื้อ-จัดจ้าง'!$E17</f>
        <v>2375300</v>
      </c>
      <c r="E96" s="190">
        <f>+'[23]สรุปแยกจัดซื้อ-จัดจ้าง'!$F17</f>
        <v>1070863.73</v>
      </c>
      <c r="F96" s="191">
        <f>+E96*100/$D96</f>
        <v>45.083304424704245</v>
      </c>
      <c r="G96" s="190">
        <f>+'[23]สรุปแยกจัดซื้อ-จัดจ้าง'!$G17</f>
        <v>0</v>
      </c>
      <c r="H96" s="191">
        <f>+G96*100/$D96</f>
        <v>0</v>
      </c>
      <c r="I96" s="190">
        <f>+'[23]สรุปแยกจัดซื้อ-จัดจ้าง'!$H17</f>
        <v>0</v>
      </c>
      <c r="J96" s="191">
        <f>+I96*100/$D96</f>
        <v>0</v>
      </c>
      <c r="K96" s="190">
        <f>+'[23]สรุปแยกจัดซื้อ-จัดจ้าง'!$I17</f>
        <v>189900</v>
      </c>
      <c r="L96" s="191">
        <f>+K96*100/$D96</f>
        <v>7.9947796067865111</v>
      </c>
      <c r="M96" s="190">
        <f t="shared" si="50"/>
        <v>1260763.73</v>
      </c>
      <c r="N96" s="191">
        <f>+M96*100/$D96</f>
        <v>53.078084031490761</v>
      </c>
      <c r="O96" s="190">
        <f t="shared" si="58"/>
        <v>1114536.27</v>
      </c>
      <c r="P96" s="191">
        <f>+O96*100/$D96</f>
        <v>46.921915968509239</v>
      </c>
      <c r="Q96" s="190">
        <f>+C96-M96</f>
        <v>1114536.27</v>
      </c>
      <c r="R96" s="191">
        <f>+Q96*100/$D96</f>
        <v>46.921915968509239</v>
      </c>
      <c r="S96" s="239"/>
      <c r="T96" s="239"/>
    </row>
    <row r="97" spans="1:20" s="186" customFormat="1">
      <c r="A97" s="187">
        <v>9</v>
      </c>
      <c r="B97" s="188" t="s">
        <v>91</v>
      </c>
      <c r="C97" s="189">
        <f>+'[23]สรุปแยกจัดซื้อ-จัดจ้าง'!$C12-574590</f>
        <v>1380110</v>
      </c>
      <c r="D97" s="190">
        <f>+'[23]สรุปแยกจัดซื้อ-จัดจ้าง'!$E12</f>
        <v>1380110</v>
      </c>
      <c r="E97" s="190">
        <f>+'[23]สรุปแยกจัดซื้อ-จัดจ้าง'!$F12+246000</f>
        <v>246000</v>
      </c>
      <c r="F97" s="191">
        <f>+E97*100/$D97</f>
        <v>17.824666149799654</v>
      </c>
      <c r="G97" s="190">
        <f>+'[23]สรุปแยกจัดซื้อ-จัดจ้าง'!$G12</f>
        <v>0</v>
      </c>
      <c r="H97" s="191">
        <f>+G97*100/$D97</f>
        <v>0</v>
      </c>
      <c r="I97" s="190">
        <f>+'[23]สรุปแยกจัดซื้อ-จัดจ้าง'!$H12</f>
        <v>0</v>
      </c>
      <c r="J97" s="191">
        <f>+I97*100/$D97</f>
        <v>0</v>
      </c>
      <c r="K97" s="190">
        <f>+'[23]สรุปแยกจัดซื้อ-จัดจ้าง'!$I12</f>
        <v>48700</v>
      </c>
      <c r="L97" s="191">
        <f>+K97*100/$D97</f>
        <v>3.5287042337205006</v>
      </c>
      <c r="M97" s="190">
        <f t="shared" si="50"/>
        <v>294700</v>
      </c>
      <c r="N97" s="191">
        <f>+M97*100/$D97</f>
        <v>21.353370383520154</v>
      </c>
      <c r="O97" s="190">
        <f t="shared" si="58"/>
        <v>1085410</v>
      </c>
      <c r="P97" s="191">
        <f>+O97*100/$D97</f>
        <v>78.646629616479842</v>
      </c>
      <c r="Q97" s="190">
        <f>+C97-M97</f>
        <v>1085410</v>
      </c>
      <c r="R97" s="191">
        <f>+Q97*100/$D97</f>
        <v>78.646629616479842</v>
      </c>
      <c r="S97" s="239"/>
      <c r="T97" s="239"/>
    </row>
    <row r="98" spans="1:20" s="186" customFormat="1">
      <c r="A98" s="187">
        <v>10</v>
      </c>
      <c r="B98" s="188" t="s">
        <v>248</v>
      </c>
      <c r="C98" s="189">
        <f>+'[23]สรุปแยกจัดซื้อ-จัดจ้าง'!$C14</f>
        <v>8049600</v>
      </c>
      <c r="D98" s="190">
        <f>+'[23]สรุปแยกจัดซื้อ-จัดจ้าง'!$E14</f>
        <v>8049600</v>
      </c>
      <c r="E98" s="190">
        <f>+'[23]สรุปแยกจัดซื้อ-จัดจ้าง'!$F14</f>
        <v>0</v>
      </c>
      <c r="F98" s="191">
        <f>+E98*100/$D98</f>
        <v>0</v>
      </c>
      <c r="G98" s="190">
        <f>+'[23]สรุปแยกจัดซื้อ-จัดจ้าง'!$G14</f>
        <v>0</v>
      </c>
      <c r="H98" s="191">
        <f>+G98*100/$D98</f>
        <v>0</v>
      </c>
      <c r="I98" s="190">
        <f>+'[23]สรุปแยกจัดซื้อ-จัดจ้าง'!$H14</f>
        <v>0</v>
      </c>
      <c r="J98" s="191">
        <f>+I98*100/$D98</f>
        <v>0</v>
      </c>
      <c r="K98" s="190">
        <f>+'[23]สรุปแยกจัดซื้อ-จัดจ้าง'!$I14</f>
        <v>344930</v>
      </c>
      <c r="L98" s="191">
        <f>+K98*100/$D98</f>
        <v>4.285057642615782</v>
      </c>
      <c r="M98" s="190">
        <f t="shared" si="50"/>
        <v>344930</v>
      </c>
      <c r="N98" s="191">
        <f>+M98*100/$D98</f>
        <v>4.285057642615782</v>
      </c>
      <c r="O98" s="190">
        <f t="shared" si="58"/>
        <v>7704670</v>
      </c>
      <c r="P98" s="191">
        <f>+O98*100/$D98</f>
        <v>95.714942357384217</v>
      </c>
      <c r="Q98" s="190">
        <f>+C98-M98</f>
        <v>7704670</v>
      </c>
      <c r="R98" s="191">
        <f>+Q98*100/$D98</f>
        <v>95.714942357384217</v>
      </c>
      <c r="S98" s="239"/>
      <c r="T98" s="239"/>
    </row>
    <row r="99" spans="1:20" s="186" customFormat="1">
      <c r="A99" s="187">
        <v>11</v>
      </c>
      <c r="B99" s="192" t="s">
        <v>77</v>
      </c>
      <c r="C99" s="189">
        <f>+'[23]สรุปแยกจัดซื้อ-จัดจ้าง'!$C11</f>
        <v>5190100</v>
      </c>
      <c r="D99" s="190">
        <f>+'[23]สรุปแยกจัดซื้อ-จัดจ้าง'!$E11</f>
        <v>5190100</v>
      </c>
      <c r="E99" s="190">
        <f>+'[23]สรุปแยกจัดซื้อ-จัดจ้าง'!$F11</f>
        <v>91500</v>
      </c>
      <c r="F99" s="191">
        <f t="shared" si="52"/>
        <v>1.7629718117184641</v>
      </c>
      <c r="G99" s="190">
        <f>+'[23]สรุปแยกจัดซื้อ-จัดจ้าง'!$G11</f>
        <v>0</v>
      </c>
      <c r="H99" s="191">
        <f t="shared" si="52"/>
        <v>0</v>
      </c>
      <c r="I99" s="190">
        <f>+'[23]สรุปแยกจัดซื้อ-จัดจ้าง'!$H11</f>
        <v>0</v>
      </c>
      <c r="J99" s="191">
        <f t="shared" ref="J99" si="64">+I99*100/$D99</f>
        <v>0</v>
      </c>
      <c r="K99" s="190">
        <f>+'[23]สรุปแยกจัดซื้อ-จัดจ้าง'!$I11</f>
        <v>43000</v>
      </c>
      <c r="L99" s="191">
        <f t="shared" ref="L99" si="65">+K99*100/$D99</f>
        <v>0.82850041425020715</v>
      </c>
      <c r="M99" s="190">
        <f t="shared" ref="M99:M105" si="66">+E99+G99+I99+K99</f>
        <v>134500</v>
      </c>
      <c r="N99" s="191">
        <f t="shared" ref="N99" si="67">+M99*100/$D99</f>
        <v>2.5914722259686713</v>
      </c>
      <c r="O99" s="190">
        <f t="shared" si="58"/>
        <v>5055600</v>
      </c>
      <c r="P99" s="191">
        <f t="shared" ref="P99" si="68">+O99*100/$D99</f>
        <v>97.408527774031327</v>
      </c>
      <c r="Q99" s="190">
        <f t="shared" si="51"/>
        <v>5055600</v>
      </c>
      <c r="R99" s="191">
        <f t="shared" ref="R99" si="69">+Q99*100/$D99</f>
        <v>97.408527774031327</v>
      </c>
      <c r="S99" s="239"/>
      <c r="T99" s="239"/>
    </row>
    <row r="100" spans="1:20" s="186" customFormat="1">
      <c r="A100" s="1069" t="s">
        <v>260</v>
      </c>
      <c r="B100" s="1070"/>
      <c r="C100" s="193">
        <f>+C101+C102+C103+C104+C105</f>
        <v>212568890</v>
      </c>
      <c r="D100" s="193">
        <f t="shared" ref="D100:O100" si="70">+D101+D102+D103+D104+D105</f>
        <v>212568890</v>
      </c>
      <c r="E100" s="193">
        <f t="shared" si="70"/>
        <v>0</v>
      </c>
      <c r="F100" s="185">
        <f t="shared" si="52"/>
        <v>0</v>
      </c>
      <c r="G100" s="193">
        <f t="shared" si="70"/>
        <v>0</v>
      </c>
      <c r="H100" s="185">
        <f t="shared" si="52"/>
        <v>0</v>
      </c>
      <c r="I100" s="193">
        <f t="shared" si="70"/>
        <v>0</v>
      </c>
      <c r="J100" s="185">
        <f t="shared" ref="J100" si="71">+I100*100/$D100</f>
        <v>0</v>
      </c>
      <c r="K100" s="193">
        <f t="shared" si="70"/>
        <v>0</v>
      </c>
      <c r="L100" s="185">
        <f t="shared" ref="L100" si="72">+K100*100/$D100</f>
        <v>0</v>
      </c>
      <c r="M100" s="194">
        <f t="shared" si="66"/>
        <v>0</v>
      </c>
      <c r="N100" s="185">
        <f t="shared" ref="N100" si="73">+M100*100/$D100</f>
        <v>0</v>
      </c>
      <c r="O100" s="193">
        <f t="shared" si="70"/>
        <v>212568890</v>
      </c>
      <c r="P100" s="185">
        <f t="shared" ref="P100" si="74">+O100*100/$D100</f>
        <v>100</v>
      </c>
      <c r="Q100" s="185">
        <f t="shared" si="51"/>
        <v>212568890</v>
      </c>
      <c r="R100" s="185">
        <f t="shared" ref="R100" si="75">+Q100*100/$D100</f>
        <v>100</v>
      </c>
      <c r="S100" s="239"/>
      <c r="T100" s="239"/>
    </row>
    <row r="101" spans="1:20" s="186" customFormat="1">
      <c r="A101" s="187">
        <v>12</v>
      </c>
      <c r="B101" s="188" t="s">
        <v>84</v>
      </c>
      <c r="C101" s="189">
        <f>+'[23]สรุปแยกจัดซื้อ-จัดจ้าง'!$C19</f>
        <v>2910000</v>
      </c>
      <c r="D101" s="190">
        <f>+'[23]สรุปแยกจัดซื้อ-จัดจ้าง'!$E19</f>
        <v>2910000</v>
      </c>
      <c r="E101" s="190">
        <f>+'[23]สรุปแยกจัดซื้อ-จัดจ้าง'!$F19</f>
        <v>0</v>
      </c>
      <c r="F101" s="191">
        <f t="shared" si="52"/>
        <v>0</v>
      </c>
      <c r="G101" s="190">
        <f>+'[23]สรุปแยกจัดซื้อ-จัดจ้าง'!$G19</f>
        <v>0</v>
      </c>
      <c r="H101" s="191">
        <f t="shared" si="52"/>
        <v>0</v>
      </c>
      <c r="I101" s="190">
        <f>+'[23]สรุปแยกจัดซื้อ-จัดจ้าง'!$H19</f>
        <v>0</v>
      </c>
      <c r="J101" s="191">
        <f t="shared" ref="J101" si="76">+I101*100/$D101</f>
        <v>0</v>
      </c>
      <c r="K101" s="190">
        <f>+'[23]สรุปแยกจัดซื้อ-จัดจ้าง'!$I19</f>
        <v>0</v>
      </c>
      <c r="L101" s="191">
        <f t="shared" ref="L101" si="77">+K101*100/$D101</f>
        <v>0</v>
      </c>
      <c r="M101" s="190">
        <f>+E101+G101+I101+K101</f>
        <v>0</v>
      </c>
      <c r="N101" s="191">
        <f t="shared" ref="N101" si="78">+M101*100/$D101</f>
        <v>0</v>
      </c>
      <c r="O101" s="190">
        <f t="shared" si="58"/>
        <v>2910000</v>
      </c>
      <c r="P101" s="191">
        <f t="shared" ref="P101" si="79">+O101*100/$D101</f>
        <v>100</v>
      </c>
      <c r="Q101" s="190">
        <f t="shared" si="51"/>
        <v>2910000</v>
      </c>
      <c r="R101" s="191">
        <f t="shared" ref="R101" si="80">+Q101*100/$D101</f>
        <v>100</v>
      </c>
      <c r="S101" s="239"/>
      <c r="T101" s="239"/>
    </row>
    <row r="102" spans="1:20" s="186" customFormat="1">
      <c r="A102" s="187">
        <v>13</v>
      </c>
      <c r="B102" s="188" t="s">
        <v>79</v>
      </c>
      <c r="C102" s="189">
        <f>+'[23]สรุปแยกจัดซื้อ-จัดจ้าง'!$C20</f>
        <v>128307500</v>
      </c>
      <c r="D102" s="190">
        <f>+'[23]สรุปแยกจัดซื้อ-จัดจ้าง'!$E20</f>
        <v>128307500</v>
      </c>
      <c r="E102" s="190">
        <f>+'[23]สรุปแยกจัดซื้อ-จัดจ้าง'!$F20</f>
        <v>0</v>
      </c>
      <c r="F102" s="191">
        <f t="shared" si="52"/>
        <v>0</v>
      </c>
      <c r="G102" s="190">
        <f>+'[23]สรุปแยกจัดซื้อ-จัดจ้าง'!$G20</f>
        <v>0</v>
      </c>
      <c r="H102" s="191">
        <f t="shared" si="52"/>
        <v>0</v>
      </c>
      <c r="I102" s="190">
        <f>+'[23]สรุปแยกจัดซื้อ-จัดจ้าง'!$H20</f>
        <v>0</v>
      </c>
      <c r="J102" s="191">
        <f t="shared" ref="J102" si="81">+I102*100/$D102</f>
        <v>0</v>
      </c>
      <c r="K102" s="190">
        <f>+'[23]สรุปแยกจัดซื้อ-จัดจ้าง'!$I20</f>
        <v>0</v>
      </c>
      <c r="L102" s="191">
        <f t="shared" ref="L102" si="82">+K102*100/$D102</f>
        <v>0</v>
      </c>
      <c r="M102" s="190">
        <f t="shared" si="66"/>
        <v>0</v>
      </c>
      <c r="N102" s="191">
        <f t="shared" ref="N102" si="83">+M102*100/$D102</f>
        <v>0</v>
      </c>
      <c r="O102" s="190">
        <f t="shared" si="58"/>
        <v>128307500</v>
      </c>
      <c r="P102" s="191">
        <f t="shared" ref="P102" si="84">+O102*100/$D102</f>
        <v>100</v>
      </c>
      <c r="Q102" s="190">
        <f t="shared" si="51"/>
        <v>128307500</v>
      </c>
      <c r="R102" s="191">
        <f t="shared" ref="R102" si="85">+Q102*100/$D102</f>
        <v>100</v>
      </c>
      <c r="S102" s="239"/>
      <c r="T102" s="239"/>
    </row>
    <row r="103" spans="1:20" s="186" customFormat="1">
      <c r="A103" s="187">
        <v>14</v>
      </c>
      <c r="B103" s="188" t="s">
        <v>89</v>
      </c>
      <c r="C103" s="189">
        <f>+'[23]สรุปแยกจัดซื้อ-จัดจ้าง'!$C21</f>
        <v>9430000</v>
      </c>
      <c r="D103" s="190">
        <f>+'[23]สรุปแยกจัดซื้อ-จัดจ้าง'!$E21</f>
        <v>9430000</v>
      </c>
      <c r="E103" s="190">
        <f>+'[23]สรุปแยกจัดซื้อ-จัดจ้าง'!$F21</f>
        <v>0</v>
      </c>
      <c r="F103" s="191">
        <f t="shared" si="52"/>
        <v>0</v>
      </c>
      <c r="G103" s="190">
        <f>+'[23]สรุปแยกจัดซื้อ-จัดจ้าง'!$G21</f>
        <v>0</v>
      </c>
      <c r="H103" s="191">
        <f t="shared" si="52"/>
        <v>0</v>
      </c>
      <c r="I103" s="190">
        <f>+'[23]สรุปแยกจัดซื้อ-จัดจ้าง'!$H21</f>
        <v>0</v>
      </c>
      <c r="J103" s="191">
        <f t="shared" ref="J103" si="86">+I103*100/$D103</f>
        <v>0</v>
      </c>
      <c r="K103" s="190">
        <f>+'[23]สรุปแยกจัดซื้อ-จัดจ้าง'!$I21</f>
        <v>0</v>
      </c>
      <c r="L103" s="191">
        <f t="shared" ref="L103" si="87">+K103*100/$D103</f>
        <v>0</v>
      </c>
      <c r="M103" s="190">
        <f t="shared" si="66"/>
        <v>0</v>
      </c>
      <c r="N103" s="191">
        <f t="shared" ref="N103" si="88">+M103*100/$D103</f>
        <v>0</v>
      </c>
      <c r="O103" s="190">
        <f t="shared" si="58"/>
        <v>9430000</v>
      </c>
      <c r="P103" s="191">
        <f t="shared" ref="P103" si="89">+O103*100/$D103</f>
        <v>100</v>
      </c>
      <c r="Q103" s="190">
        <f t="shared" si="51"/>
        <v>9430000</v>
      </c>
      <c r="R103" s="191">
        <f t="shared" ref="R103" si="90">+Q103*100/$D103</f>
        <v>100</v>
      </c>
      <c r="S103" s="239"/>
      <c r="T103" s="239"/>
    </row>
    <row r="104" spans="1:20" s="186" customFormat="1">
      <c r="A104" s="187">
        <v>15</v>
      </c>
      <c r="B104" s="188" t="s">
        <v>83</v>
      </c>
      <c r="C104" s="189">
        <f>+'[23]สรุปแยกจัดซื้อ-จัดจ้าง'!$C22</f>
        <v>8500000</v>
      </c>
      <c r="D104" s="190">
        <f>+'[23]สรุปแยกจัดซื้อ-จัดจ้าง'!$E22</f>
        <v>8500000</v>
      </c>
      <c r="E104" s="190">
        <f>+'[23]สรุปแยกจัดซื้อ-จัดจ้าง'!$F22</f>
        <v>0</v>
      </c>
      <c r="F104" s="191">
        <f t="shared" si="52"/>
        <v>0</v>
      </c>
      <c r="G104" s="190">
        <f>+'[23]สรุปแยกจัดซื้อ-จัดจ้าง'!$G22</f>
        <v>0</v>
      </c>
      <c r="H104" s="191">
        <f t="shared" si="52"/>
        <v>0</v>
      </c>
      <c r="I104" s="190">
        <f>+'[23]สรุปแยกจัดซื้อ-จัดจ้าง'!$H22</f>
        <v>0</v>
      </c>
      <c r="J104" s="191">
        <f t="shared" ref="J104" si="91">+I104*100/$D104</f>
        <v>0</v>
      </c>
      <c r="K104" s="190">
        <f>+'[23]สรุปแยกจัดซื้อ-จัดจ้าง'!$I22</f>
        <v>0</v>
      </c>
      <c r="L104" s="191">
        <f t="shared" ref="L104" si="92">+K104*100/$D104</f>
        <v>0</v>
      </c>
      <c r="M104" s="190">
        <f t="shared" si="66"/>
        <v>0</v>
      </c>
      <c r="N104" s="191">
        <f t="shared" ref="N104" si="93">+M104*100/$D104</f>
        <v>0</v>
      </c>
      <c r="O104" s="190">
        <f t="shared" si="58"/>
        <v>8500000</v>
      </c>
      <c r="P104" s="191">
        <f t="shared" ref="P104" si="94">+O104*100/$D104</f>
        <v>100</v>
      </c>
      <c r="Q104" s="190">
        <f t="shared" si="51"/>
        <v>8500000</v>
      </c>
      <c r="R104" s="191">
        <f t="shared" ref="R104" si="95">+Q104*100/$D104</f>
        <v>100</v>
      </c>
      <c r="S104" s="239"/>
      <c r="T104" s="239"/>
    </row>
    <row r="105" spans="1:20" s="186" customFormat="1">
      <c r="A105" s="187">
        <v>16</v>
      </c>
      <c r="B105" s="188" t="s">
        <v>305</v>
      </c>
      <c r="C105" s="189">
        <f>+'[23]สรุปแยกจัดซื้อ-จัดจ้าง'!$C23+574590</f>
        <v>63421390</v>
      </c>
      <c r="D105" s="190">
        <f>+'[23]สรุปแยกจัดซื้อ-จัดจ้าง'!$E23</f>
        <v>63421390</v>
      </c>
      <c r="E105" s="190">
        <f>+'[23]สรุปแยกจัดซื้อ-จัดจ้าง'!$F23</f>
        <v>0</v>
      </c>
      <c r="F105" s="191">
        <f t="shared" si="52"/>
        <v>0</v>
      </c>
      <c r="G105" s="190">
        <f>+'[23]สรุปแยกจัดซื้อ-จัดจ้าง'!$G23</f>
        <v>0</v>
      </c>
      <c r="H105" s="191">
        <f t="shared" si="52"/>
        <v>0</v>
      </c>
      <c r="I105" s="190">
        <f>+'[23]สรุปแยกจัดซื้อ-จัดจ้าง'!$H23</f>
        <v>0</v>
      </c>
      <c r="J105" s="191">
        <f t="shared" ref="J105" si="96">+I105*100/$D105</f>
        <v>0</v>
      </c>
      <c r="K105" s="190">
        <f>+'[23]สรุปแยกจัดซื้อ-จัดจ้าง'!$I23</f>
        <v>0</v>
      </c>
      <c r="L105" s="191">
        <f t="shared" ref="L105" si="97">+K105*100/$D105</f>
        <v>0</v>
      </c>
      <c r="M105" s="190">
        <f t="shared" si="66"/>
        <v>0</v>
      </c>
      <c r="N105" s="191">
        <f t="shared" ref="N105" si="98">+M105*100/$D105</f>
        <v>0</v>
      </c>
      <c r="O105" s="190">
        <f t="shared" si="58"/>
        <v>63421390</v>
      </c>
      <c r="P105" s="191">
        <f t="shared" ref="P105" si="99">+O105*100/$D105</f>
        <v>100</v>
      </c>
      <c r="Q105" s="190">
        <f t="shared" si="51"/>
        <v>63421390</v>
      </c>
      <c r="R105" s="191">
        <f t="shared" ref="R105" si="100">+Q105*100/$D105</f>
        <v>100</v>
      </c>
      <c r="S105" s="239"/>
      <c r="T105" s="239"/>
    </row>
    <row r="106" spans="1:20" s="173" customFormat="1" ht="21.75" thickBot="1">
      <c r="A106" s="1071" t="s">
        <v>11</v>
      </c>
      <c r="B106" s="1072"/>
      <c r="C106" s="195">
        <f>+C88+C100</f>
        <v>230145300</v>
      </c>
      <c r="D106" s="195">
        <f>+D88+D100</f>
        <v>230145300</v>
      </c>
      <c r="E106" s="195">
        <f>+E88+E100</f>
        <v>1408363.73</v>
      </c>
      <c r="F106" s="196">
        <f t="shared" si="52"/>
        <v>0.61194546662478011</v>
      </c>
      <c r="G106" s="195">
        <f>+G88+G100</f>
        <v>0</v>
      </c>
      <c r="H106" s="196">
        <f t="shared" si="52"/>
        <v>0</v>
      </c>
      <c r="I106" s="195">
        <f>+I88+I100</f>
        <v>0</v>
      </c>
      <c r="J106" s="196">
        <f t="shared" ref="J106" si="101">+I106*100/$D106</f>
        <v>0</v>
      </c>
      <c r="K106" s="195">
        <f>+K88+K100</f>
        <v>1125127.3999999999</v>
      </c>
      <c r="L106" s="196">
        <f t="shared" ref="L106" si="102">+K106*100/$D106</f>
        <v>0.48887698336659485</v>
      </c>
      <c r="M106" s="195">
        <f>+M88+M100</f>
        <v>2533491.13</v>
      </c>
      <c r="N106" s="196">
        <f t="shared" ref="N106" si="103">+M106*100/$D106</f>
        <v>1.100822449991375</v>
      </c>
      <c r="O106" s="195">
        <f>+O88+O100</f>
        <v>227611808.87</v>
      </c>
      <c r="P106" s="196">
        <f t="shared" ref="P106" si="104">+O106*100/$D106</f>
        <v>98.899177550008631</v>
      </c>
      <c r="Q106" s="195">
        <f>+Q88+Q100</f>
        <v>227611808.87</v>
      </c>
      <c r="R106" s="196">
        <f t="shared" ref="R106" si="105">+Q106*100/$D106</f>
        <v>98.899177550008631</v>
      </c>
      <c r="S106" s="239"/>
      <c r="T106" s="239"/>
    </row>
    <row r="107" spans="1:20" ht="21.75" thickTop="1">
      <c r="S107" s="239"/>
      <c r="T107" s="239"/>
    </row>
    <row r="108" spans="1:20">
      <c r="A108" s="179" t="s">
        <v>309</v>
      </c>
      <c r="C108" s="197"/>
      <c r="S108" s="239"/>
      <c r="T108" s="239"/>
    </row>
    <row r="109" spans="1:20" s="206" customFormat="1" ht="21" customHeight="1">
      <c r="A109" s="1076" t="s">
        <v>106</v>
      </c>
      <c r="B109" s="1077" t="s">
        <v>167</v>
      </c>
      <c r="C109" s="1078" t="s">
        <v>118</v>
      </c>
      <c r="D109" s="1078" t="s">
        <v>131</v>
      </c>
      <c r="E109" s="1075" t="s">
        <v>5</v>
      </c>
      <c r="F109" s="1075"/>
      <c r="G109" s="1064" t="s">
        <v>6</v>
      </c>
      <c r="H109" s="1064"/>
      <c r="I109" s="1065" t="s">
        <v>7</v>
      </c>
      <c r="J109" s="1065"/>
      <c r="K109" s="1066" t="s">
        <v>127</v>
      </c>
      <c r="L109" s="1066"/>
      <c r="M109" s="1067" t="s">
        <v>121</v>
      </c>
      <c r="N109" s="1067"/>
      <c r="O109" s="1063" t="s">
        <v>128</v>
      </c>
      <c r="P109" s="1063"/>
      <c r="Q109" s="1063" t="s">
        <v>129</v>
      </c>
      <c r="R109" s="1063"/>
      <c r="S109" s="239"/>
      <c r="T109" s="239"/>
    </row>
    <row r="110" spans="1:20" s="206" customFormat="1">
      <c r="A110" s="1076"/>
      <c r="B110" s="1077"/>
      <c r="C110" s="1078"/>
      <c r="D110" s="1078"/>
      <c r="E110" s="207" t="s">
        <v>119</v>
      </c>
      <c r="F110" s="207" t="s">
        <v>124</v>
      </c>
      <c r="G110" s="207" t="s">
        <v>119</v>
      </c>
      <c r="H110" s="207" t="s">
        <v>124</v>
      </c>
      <c r="I110" s="207" t="s">
        <v>119</v>
      </c>
      <c r="J110" s="207" t="s">
        <v>124</v>
      </c>
      <c r="K110" s="207" t="s">
        <v>119</v>
      </c>
      <c r="L110" s="207" t="s">
        <v>124</v>
      </c>
      <c r="M110" s="207" t="s">
        <v>119</v>
      </c>
      <c r="N110" s="207" t="s">
        <v>124</v>
      </c>
      <c r="O110" s="207" t="s">
        <v>119</v>
      </c>
      <c r="P110" s="207" t="s">
        <v>124</v>
      </c>
      <c r="Q110" s="207" t="s">
        <v>119</v>
      </c>
      <c r="R110" s="207" t="s">
        <v>124</v>
      </c>
      <c r="S110" s="239"/>
      <c r="T110" s="239"/>
    </row>
    <row r="111" spans="1:20">
      <c r="A111" s="198">
        <v>1</v>
      </c>
      <c r="B111" s="198" t="s">
        <v>85</v>
      </c>
      <c r="C111" s="199">
        <f>+[24]สรุป!D13+ยาเสพติด!C8</f>
        <v>10325636</v>
      </c>
      <c r="D111" s="199">
        <f>+[24]สรุป!G13+ยาเสพติด!D8</f>
        <v>4029386</v>
      </c>
      <c r="E111" s="199">
        <f>+ยาเสพติด!E8</f>
        <v>0</v>
      </c>
      <c r="F111" s="198"/>
      <c r="G111" s="199">
        <f>+[24]สรุป!H13+ยาเสพติด!G8</f>
        <v>0</v>
      </c>
      <c r="H111" s="199">
        <v>0</v>
      </c>
      <c r="I111" s="199">
        <f>+[24]สรุป!I13+ยาเสพติด!I8</f>
        <v>0</v>
      </c>
      <c r="J111" s="199">
        <v>0</v>
      </c>
      <c r="K111" s="199">
        <f>+[24]สรุป!J13+ยาเสพติด!K8</f>
        <v>1629840</v>
      </c>
      <c r="L111" s="199">
        <f>+K111*100/$D111</f>
        <v>40.448842578000715</v>
      </c>
      <c r="M111" s="199">
        <f>+E111+G111+I111+K111</f>
        <v>1629840</v>
      </c>
      <c r="N111" s="199">
        <f>+M111*100/$D111</f>
        <v>40.448842578000715</v>
      </c>
      <c r="O111" s="199">
        <f>+D111-M111</f>
        <v>2399546</v>
      </c>
      <c r="P111" s="199">
        <f>+O111*100/$D111</f>
        <v>59.551157421999285</v>
      </c>
      <c r="Q111" s="199">
        <f>+C111-M111</f>
        <v>8695796</v>
      </c>
      <c r="R111" s="199">
        <f>+Q111*100/C111</f>
        <v>84.215596985987105</v>
      </c>
      <c r="S111" s="239"/>
      <c r="T111" s="239"/>
    </row>
    <row r="112" spans="1:20">
      <c r="A112" s="198">
        <v>2</v>
      </c>
      <c r="B112" s="198" t="s">
        <v>93</v>
      </c>
      <c r="C112" s="199">
        <f>+[24]สรุป!D12</f>
        <v>294000</v>
      </c>
      <c r="D112" s="199">
        <f>+[24]สรุป!G12</f>
        <v>240600</v>
      </c>
      <c r="E112" s="199"/>
      <c r="F112" s="198"/>
      <c r="G112" s="199">
        <f>+[24]สรุป!H12</f>
        <v>0</v>
      </c>
      <c r="H112" s="199">
        <f>+G112*100/$D112</f>
        <v>0</v>
      </c>
      <c r="I112" s="199">
        <f>+[24]สรุป!I12</f>
        <v>0</v>
      </c>
      <c r="J112" s="199">
        <f>+I112*100/$D112</f>
        <v>0</v>
      </c>
      <c r="K112" s="199">
        <f>+[24]สรุป!J12</f>
        <v>81690.31</v>
      </c>
      <c r="L112" s="199">
        <f>+K112*100/$D112</f>
        <v>33.952747298420618</v>
      </c>
      <c r="M112" s="199">
        <f>+E112+G112+I112+K112</f>
        <v>81690.31</v>
      </c>
      <c r="N112" s="199">
        <f>+M112*100/$D112</f>
        <v>33.952747298420618</v>
      </c>
      <c r="O112" s="199">
        <f>+D112-M112</f>
        <v>158909.69</v>
      </c>
      <c r="P112" s="199">
        <f>+O112*100/$D112</f>
        <v>66.047252701579382</v>
      </c>
      <c r="Q112" s="199">
        <f>+C112-M112</f>
        <v>212309.69</v>
      </c>
      <c r="R112" s="199">
        <f>+Q112*100/C112</f>
        <v>72.214180272108848</v>
      </c>
      <c r="S112" s="239"/>
      <c r="T112" s="239"/>
    </row>
    <row r="113" spans="1:20">
      <c r="A113" s="198">
        <v>3</v>
      </c>
      <c r="B113" s="198" t="s">
        <v>83</v>
      </c>
      <c r="C113" s="199">
        <f>+[24]สรุป!D17+ยาเสพติด!C9</f>
        <v>8757500</v>
      </c>
      <c r="D113" s="199">
        <f>+[24]สรุป!G17+ยาเสพติด!D9</f>
        <v>4453550</v>
      </c>
      <c r="E113" s="199">
        <f>+ยาเสพติด!E9</f>
        <v>0</v>
      </c>
      <c r="F113" s="198"/>
      <c r="G113" s="199">
        <f>+[24]สรุป!H17+ยาเสพติด!G9</f>
        <v>47306.5</v>
      </c>
      <c r="H113" s="199">
        <f>+G113*100/$D113</f>
        <v>1.0622200267202568</v>
      </c>
      <c r="I113" s="199">
        <f>+[24]สรุป!I17+ยาเสพติด!I9</f>
        <v>0</v>
      </c>
      <c r="J113" s="199">
        <f>+I113*100/$D113</f>
        <v>0</v>
      </c>
      <c r="K113" s="199">
        <f>+[24]สรุป!J17+ยาเสพติด!K9</f>
        <v>1342112</v>
      </c>
      <c r="L113" s="199">
        <f>+K113*100/$D113</f>
        <v>30.135779322113819</v>
      </c>
      <c r="M113" s="199">
        <f>+E113+G113+I113+K113</f>
        <v>1389418.5</v>
      </c>
      <c r="N113" s="199">
        <f>+M113*100/$D113</f>
        <v>31.197999348834077</v>
      </c>
      <c r="O113" s="199">
        <f>+D113-M113</f>
        <v>3064131.5</v>
      </c>
      <c r="P113" s="199">
        <f>+O113*100/$D113</f>
        <v>68.802000651165926</v>
      </c>
      <c r="Q113" s="199">
        <f>+C113-M113</f>
        <v>7368081.5</v>
      </c>
      <c r="R113" s="199">
        <f>+Q113*100/C113</f>
        <v>84.134530402512127</v>
      </c>
      <c r="S113" s="239"/>
      <c r="T113" s="239"/>
    </row>
    <row r="114" spans="1:20">
      <c r="A114" s="198">
        <v>4</v>
      </c>
      <c r="B114" s="198" t="s">
        <v>78</v>
      </c>
      <c r="C114" s="199">
        <f>+[24]สรุป!D11</f>
        <v>300000</v>
      </c>
      <c r="D114" s="199">
        <f>+[24]สรุป!G11</f>
        <v>92900</v>
      </c>
      <c r="E114" s="199"/>
      <c r="F114" s="198"/>
      <c r="G114" s="199">
        <f>+[24]สรุป!H11</f>
        <v>0</v>
      </c>
      <c r="H114" s="199">
        <f>+G114*100/$D114</f>
        <v>0</v>
      </c>
      <c r="I114" s="199">
        <f>+[24]สรุป!I11</f>
        <v>0</v>
      </c>
      <c r="J114" s="199">
        <f>+I114*100/$D114</f>
        <v>0</v>
      </c>
      <c r="K114" s="199">
        <f>+[24]สรุป!J11</f>
        <v>7300</v>
      </c>
      <c r="L114" s="199">
        <f>+K114*100/$D114</f>
        <v>7.8579117330462864</v>
      </c>
      <c r="M114" s="199">
        <f>+E114+G114+I114+K114</f>
        <v>7300</v>
      </c>
      <c r="N114" s="199">
        <f>+M114*100/$D114</f>
        <v>7.8579117330462864</v>
      </c>
      <c r="O114" s="199">
        <f>+D114-M114</f>
        <v>85600</v>
      </c>
      <c r="P114" s="199">
        <f>+O114*100/$D114</f>
        <v>92.142088266953721</v>
      </c>
      <c r="Q114" s="199">
        <f>+C114-M114</f>
        <v>292700</v>
      </c>
      <c r="R114" s="199">
        <f>+Q114*100/C114</f>
        <v>97.566666666666663</v>
      </c>
      <c r="S114" s="239"/>
      <c r="T114" s="239"/>
    </row>
    <row r="115" spans="1:20">
      <c r="A115" s="198">
        <v>5</v>
      </c>
      <c r="B115" s="198" t="s">
        <v>84</v>
      </c>
      <c r="C115" s="199">
        <f>+[24]สรุป!D6+รวมรายจ่ายอื่น!C41</f>
        <v>565000</v>
      </c>
      <c r="D115" s="199">
        <f>+[24]สรุป!G6+รวมรายจ่ายอื่น!D41</f>
        <v>285400</v>
      </c>
      <c r="E115" s="199"/>
      <c r="F115" s="198"/>
      <c r="G115" s="199">
        <f>+[24]สรุป!H6+รวมรายจ่ายอื่น!G41</f>
        <v>0</v>
      </c>
      <c r="H115" s="199">
        <f>+G115*100/$D115</f>
        <v>0</v>
      </c>
      <c r="I115" s="199">
        <f>+[24]สรุป!I6+รวมรายจ่ายอื่น!I41</f>
        <v>0</v>
      </c>
      <c r="J115" s="199">
        <f>+I115*100/$D115</f>
        <v>0</v>
      </c>
      <c r="K115" s="199">
        <f>+[24]สรุป!J6+รวมรายจ่ายอื่น!K41</f>
        <v>15000</v>
      </c>
      <c r="L115" s="199">
        <f>+K115*100/$D115</f>
        <v>5.2557813594954448</v>
      </c>
      <c r="M115" s="199">
        <f>+E115+G115+I115+K115</f>
        <v>15000</v>
      </c>
      <c r="N115" s="199">
        <f>+M115*100/$D115</f>
        <v>5.2557813594954448</v>
      </c>
      <c r="O115" s="199">
        <f>+D115-M115</f>
        <v>270400</v>
      </c>
      <c r="P115" s="199">
        <f>+O115*100/$D115</f>
        <v>94.744218640504556</v>
      </c>
      <c r="Q115" s="199">
        <f t="shared" ref="Q115:Q123" si="106">+C115-M115</f>
        <v>550000</v>
      </c>
      <c r="R115" s="199">
        <f t="shared" ref="R115:R124" si="107">+Q115*100/C115</f>
        <v>97.345132743362825</v>
      </c>
      <c r="S115" s="239"/>
      <c r="T115" s="239"/>
    </row>
    <row r="116" spans="1:20">
      <c r="A116" s="198">
        <v>6</v>
      </c>
      <c r="B116" s="198" t="s">
        <v>82</v>
      </c>
      <c r="C116" s="199">
        <f>+[24]สรุป!D7</f>
        <v>700000</v>
      </c>
      <c r="D116" s="199">
        <f>+[24]สรุป!G7</f>
        <v>536200</v>
      </c>
      <c r="E116" s="199"/>
      <c r="F116" s="198"/>
      <c r="G116" s="199">
        <f>+[24]สรุป!H7</f>
        <v>0</v>
      </c>
      <c r="H116" s="199">
        <f t="shared" ref="H116:H122" si="108">+G116*100/$D116</f>
        <v>0</v>
      </c>
      <c r="I116" s="199">
        <f>+[24]สรุป!I7</f>
        <v>1000</v>
      </c>
      <c r="J116" s="199">
        <f t="shared" ref="J116:J122" si="109">+I116*100/$D116</f>
        <v>0.18649757553151808</v>
      </c>
      <c r="K116" s="199">
        <f>+[24]สรุป!J7</f>
        <v>0</v>
      </c>
      <c r="L116" s="199">
        <f t="shared" ref="L116:L123" si="110">+K116*100/$D116</f>
        <v>0</v>
      </c>
      <c r="M116" s="199">
        <f t="shared" ref="M116:M117" si="111">+E116+G116+I116+K116</f>
        <v>1000</v>
      </c>
      <c r="N116" s="199">
        <f t="shared" ref="N116:N123" si="112">+M116*100/$D116</f>
        <v>0.18649757553151808</v>
      </c>
      <c r="O116" s="199">
        <f t="shared" ref="O116:O117" si="113">+D116-M116</f>
        <v>535200</v>
      </c>
      <c r="P116" s="199">
        <f t="shared" ref="F116:P124" si="114">+O116*100/$D116</f>
        <v>99.813502424468481</v>
      </c>
      <c r="Q116" s="199">
        <f t="shared" si="106"/>
        <v>699000</v>
      </c>
      <c r="R116" s="199">
        <f t="shared" si="107"/>
        <v>99.857142857142861</v>
      </c>
      <c r="S116" s="239"/>
      <c r="T116" s="239"/>
    </row>
    <row r="117" spans="1:20">
      <c r="A117" s="198">
        <v>7</v>
      </c>
      <c r="B117" s="198" t="s">
        <v>90</v>
      </c>
      <c r="C117" s="199">
        <f>+[24]สรุป!D8</f>
        <v>250000</v>
      </c>
      <c r="D117" s="199">
        <f>+[24]สรุป!G8</f>
        <v>55900</v>
      </c>
      <c r="E117" s="199"/>
      <c r="F117" s="198"/>
      <c r="G117" s="199">
        <f>+[24]สรุป!H8</f>
        <v>0</v>
      </c>
      <c r="H117" s="199">
        <f t="shared" si="108"/>
        <v>0</v>
      </c>
      <c r="I117" s="199">
        <f>+[24]สรุป!I8</f>
        <v>0</v>
      </c>
      <c r="J117" s="199">
        <f t="shared" si="109"/>
        <v>0</v>
      </c>
      <c r="K117" s="199">
        <f>+[24]สรุป!J8</f>
        <v>0</v>
      </c>
      <c r="L117" s="199">
        <f t="shared" si="110"/>
        <v>0</v>
      </c>
      <c r="M117" s="199">
        <f t="shared" si="111"/>
        <v>0</v>
      </c>
      <c r="N117" s="199">
        <f t="shared" si="112"/>
        <v>0</v>
      </c>
      <c r="O117" s="199">
        <f t="shared" si="113"/>
        <v>55900</v>
      </c>
      <c r="P117" s="199">
        <f t="shared" si="114"/>
        <v>100</v>
      </c>
      <c r="Q117" s="199">
        <f t="shared" si="106"/>
        <v>250000</v>
      </c>
      <c r="R117" s="199">
        <f t="shared" si="107"/>
        <v>100</v>
      </c>
      <c r="S117" s="239"/>
      <c r="T117" s="239"/>
    </row>
    <row r="118" spans="1:20">
      <c r="A118" s="198">
        <v>8</v>
      </c>
      <c r="B118" s="198" t="s">
        <v>81</v>
      </c>
      <c r="C118" s="199">
        <f>+[24]สรุป!D18</f>
        <v>300000</v>
      </c>
      <c r="D118" s="199">
        <f>+[24]สรุป!G18</f>
        <v>195500</v>
      </c>
      <c r="E118" s="199"/>
      <c r="F118" s="198"/>
      <c r="G118" s="199">
        <f>+[24]สรุป!H18</f>
        <v>0</v>
      </c>
      <c r="H118" s="199">
        <f t="shared" si="108"/>
        <v>0</v>
      </c>
      <c r="I118" s="199">
        <f>+[24]สรุป!I18</f>
        <v>0</v>
      </c>
      <c r="J118" s="199">
        <f t="shared" si="109"/>
        <v>0</v>
      </c>
      <c r="K118" s="199">
        <f>+[24]สรุป!J18</f>
        <v>0</v>
      </c>
      <c r="L118" s="199">
        <f t="shared" si="110"/>
        <v>0</v>
      </c>
      <c r="M118" s="199">
        <f t="shared" ref="M118:M122" si="115">+E118+G118+I118+K118</f>
        <v>0</v>
      </c>
      <c r="N118" s="199">
        <f t="shared" si="112"/>
        <v>0</v>
      </c>
      <c r="O118" s="199">
        <f t="shared" ref="O118:O123" si="116">+D118-M118</f>
        <v>195500</v>
      </c>
      <c r="P118" s="199">
        <f t="shared" si="114"/>
        <v>100</v>
      </c>
      <c r="Q118" s="199">
        <f t="shared" si="106"/>
        <v>300000</v>
      </c>
      <c r="R118" s="199">
        <f t="shared" si="107"/>
        <v>100</v>
      </c>
      <c r="S118" s="239"/>
      <c r="T118" s="239"/>
    </row>
    <row r="119" spans="1:20">
      <c r="A119" s="198">
        <v>9</v>
      </c>
      <c r="B119" s="198" t="s">
        <v>200</v>
      </c>
      <c r="C119" s="199">
        <f>+[24]สรุป!D19</f>
        <v>400000</v>
      </c>
      <c r="D119" s="199">
        <f>+[24]สรุป!G19</f>
        <v>303700</v>
      </c>
      <c r="E119" s="199"/>
      <c r="F119" s="198"/>
      <c r="G119" s="199">
        <f>+[24]สรุป!H19</f>
        <v>0</v>
      </c>
      <c r="H119" s="199">
        <f t="shared" si="108"/>
        <v>0</v>
      </c>
      <c r="I119" s="199">
        <f>+[24]สรุป!I19</f>
        <v>0</v>
      </c>
      <c r="J119" s="199">
        <f t="shared" si="109"/>
        <v>0</v>
      </c>
      <c r="K119" s="199">
        <f>+[24]สรุป!J19</f>
        <v>0</v>
      </c>
      <c r="L119" s="199">
        <f t="shared" si="110"/>
        <v>0</v>
      </c>
      <c r="M119" s="199">
        <f t="shared" si="115"/>
        <v>0</v>
      </c>
      <c r="N119" s="199">
        <f t="shared" si="112"/>
        <v>0</v>
      </c>
      <c r="O119" s="199">
        <f t="shared" si="116"/>
        <v>303700</v>
      </c>
      <c r="P119" s="199">
        <f t="shared" si="114"/>
        <v>100</v>
      </c>
      <c r="Q119" s="199">
        <f t="shared" si="106"/>
        <v>400000</v>
      </c>
      <c r="R119" s="199">
        <f t="shared" si="107"/>
        <v>100</v>
      </c>
      <c r="S119" s="239"/>
      <c r="T119" s="239"/>
    </row>
    <row r="120" spans="1:20" hidden="1">
      <c r="A120" s="198"/>
      <c r="B120" s="198" t="s">
        <v>313</v>
      </c>
      <c r="C120" s="199">
        <f>+[24]สรุป!D20</f>
        <v>250000</v>
      </c>
      <c r="D120" s="199">
        <f>+[24]สรุป!G20</f>
        <v>153700</v>
      </c>
      <c r="E120" s="199"/>
      <c r="F120" s="198"/>
      <c r="G120" s="199">
        <f>+[24]สรุป!H20</f>
        <v>0</v>
      </c>
      <c r="H120" s="199">
        <f t="shared" si="108"/>
        <v>0</v>
      </c>
      <c r="I120" s="199">
        <f>+[24]สรุป!I20</f>
        <v>0</v>
      </c>
      <c r="J120" s="199">
        <f t="shared" si="109"/>
        <v>0</v>
      </c>
      <c r="K120" s="199">
        <f>+[24]สรุป!J20</f>
        <v>0</v>
      </c>
      <c r="L120" s="199">
        <f t="shared" si="110"/>
        <v>0</v>
      </c>
      <c r="M120" s="199">
        <f t="shared" si="115"/>
        <v>0</v>
      </c>
      <c r="N120" s="199">
        <f t="shared" si="112"/>
        <v>0</v>
      </c>
      <c r="O120" s="199">
        <f t="shared" si="116"/>
        <v>153700</v>
      </c>
      <c r="P120" s="199">
        <f t="shared" si="114"/>
        <v>100</v>
      </c>
      <c r="Q120" s="199">
        <f t="shared" si="106"/>
        <v>250000</v>
      </c>
      <c r="R120" s="199">
        <f t="shared" si="107"/>
        <v>100</v>
      </c>
      <c r="S120" s="239"/>
      <c r="T120" s="239"/>
    </row>
    <row r="121" spans="1:20" hidden="1">
      <c r="A121" s="198"/>
      <c r="B121" s="198" t="s">
        <v>314</v>
      </c>
      <c r="C121" s="199">
        <f>+[24]สรุป!D21</f>
        <v>150000</v>
      </c>
      <c r="D121" s="199">
        <f>+[24]สรุป!G21</f>
        <v>150000</v>
      </c>
      <c r="E121" s="199"/>
      <c r="F121" s="198"/>
      <c r="G121" s="199">
        <f>+[24]สรุป!H21</f>
        <v>0</v>
      </c>
      <c r="H121" s="199">
        <f t="shared" si="108"/>
        <v>0</v>
      </c>
      <c r="I121" s="199">
        <f>+[24]สรุป!I21</f>
        <v>0</v>
      </c>
      <c r="J121" s="199">
        <f t="shared" si="109"/>
        <v>0</v>
      </c>
      <c r="K121" s="199">
        <f>+[24]สรุป!J21</f>
        <v>0</v>
      </c>
      <c r="L121" s="199">
        <f t="shared" si="110"/>
        <v>0</v>
      </c>
      <c r="M121" s="199">
        <f t="shared" si="115"/>
        <v>0</v>
      </c>
      <c r="N121" s="199">
        <f t="shared" si="112"/>
        <v>0</v>
      </c>
      <c r="O121" s="199">
        <f t="shared" si="116"/>
        <v>150000</v>
      </c>
      <c r="P121" s="199">
        <f t="shared" si="114"/>
        <v>100</v>
      </c>
      <c r="Q121" s="199">
        <f t="shared" si="106"/>
        <v>150000</v>
      </c>
      <c r="R121" s="199">
        <f t="shared" si="107"/>
        <v>100</v>
      </c>
      <c r="S121" s="239"/>
      <c r="T121" s="239"/>
    </row>
    <row r="122" spans="1:20">
      <c r="A122" s="198">
        <v>10</v>
      </c>
      <c r="B122" s="198" t="s">
        <v>312</v>
      </c>
      <c r="C122" s="199">
        <f>+[24]สรุป!D22+[24]สรุป!D14</f>
        <v>706000</v>
      </c>
      <c r="D122" s="199">
        <f>+[24]สรุป!G22+[24]สรุป!G14</f>
        <v>55000</v>
      </c>
      <c r="E122" s="199"/>
      <c r="F122" s="198"/>
      <c r="G122" s="199">
        <f>+[24]สรุป!H22+[24]สรุป!H14</f>
        <v>0</v>
      </c>
      <c r="H122" s="199">
        <f t="shared" si="108"/>
        <v>0</v>
      </c>
      <c r="I122" s="199">
        <f>+[24]สรุป!I22+[24]สรุป!I14</f>
        <v>0</v>
      </c>
      <c r="J122" s="199">
        <f t="shared" si="109"/>
        <v>0</v>
      </c>
      <c r="K122" s="199">
        <f>+[24]สรุป!J22+[24]สรุป!J14</f>
        <v>138471.18999999997</v>
      </c>
      <c r="L122" s="199">
        <f t="shared" si="110"/>
        <v>251.76579999999996</v>
      </c>
      <c r="M122" s="199">
        <f t="shared" si="115"/>
        <v>138471.18999999997</v>
      </c>
      <c r="N122" s="199">
        <f t="shared" si="112"/>
        <v>251.76579999999996</v>
      </c>
      <c r="O122" s="303">
        <f t="shared" si="116"/>
        <v>-83471.189999999973</v>
      </c>
      <c r="P122" s="303">
        <f t="shared" si="114"/>
        <v>-151.76579999999996</v>
      </c>
      <c r="Q122" s="199">
        <f t="shared" si="106"/>
        <v>567528.81000000006</v>
      </c>
      <c r="R122" s="199">
        <f t="shared" si="107"/>
        <v>80.386516997167149</v>
      </c>
      <c r="S122" s="239"/>
      <c r="T122" s="239"/>
    </row>
    <row r="123" spans="1:20">
      <c r="A123" s="271">
        <v>11</v>
      </c>
      <c r="B123" s="198" t="s">
        <v>101</v>
      </c>
      <c r="C123" s="272">
        <f>+'ยอดเบิกตาม GFMIS'!B90</f>
        <v>2116864</v>
      </c>
      <c r="D123" s="272">
        <f>+'ยอดเบิกตาม GFMIS'!C90</f>
        <v>2116864</v>
      </c>
      <c r="E123" s="272">
        <f>+'ยอดเบิกตาม GFMIS'!D90</f>
        <v>0</v>
      </c>
      <c r="F123" s="273"/>
      <c r="G123" s="272">
        <f>+'ยอดเบิกตาม GFMIS'!F90</f>
        <v>0</v>
      </c>
      <c r="H123" s="272"/>
      <c r="I123" s="272">
        <f>+'ยอดเบิกตาม GFMIS'!H90</f>
        <v>0</v>
      </c>
      <c r="J123" s="272"/>
      <c r="K123" s="272">
        <f>+'ยอดเบิกตาม GFMIS'!J90</f>
        <v>361169.73</v>
      </c>
      <c r="L123" s="199">
        <f t="shared" si="110"/>
        <v>17.061546230650624</v>
      </c>
      <c r="M123" s="272">
        <f>+'ยอดเบิกตาม GFMIS'!L90</f>
        <v>361169.73</v>
      </c>
      <c r="N123" s="272">
        <f t="shared" si="112"/>
        <v>17.061546230650624</v>
      </c>
      <c r="O123" s="272">
        <f t="shared" si="116"/>
        <v>1755694.27</v>
      </c>
      <c r="P123" s="272">
        <f t="shared" si="114"/>
        <v>82.93845376934938</v>
      </c>
      <c r="Q123" s="272">
        <f t="shared" si="106"/>
        <v>1755694.27</v>
      </c>
      <c r="R123" s="272">
        <f t="shared" si="107"/>
        <v>82.93845376934938</v>
      </c>
      <c r="S123" s="239"/>
      <c r="T123" s="239"/>
    </row>
    <row r="124" spans="1:20" s="173" customFormat="1" ht="21.75" thickBot="1">
      <c r="A124" s="1071" t="s">
        <v>11</v>
      </c>
      <c r="B124" s="1072"/>
      <c r="C124" s="195">
        <f>+C115+C116+C117+C114+C112+C111+C113+C118+C119+C122+C123</f>
        <v>24715000</v>
      </c>
      <c r="D124" s="195">
        <f>+D115+D116+D117+D114+D112+D111+D113+D118+D119+D122+D123</f>
        <v>12365000</v>
      </c>
      <c r="E124" s="195">
        <f>+E115+E116+E117+E114+E112+E111+E113+E118+E119+E122+E123</f>
        <v>0</v>
      </c>
      <c r="F124" s="195">
        <f t="shared" si="114"/>
        <v>0</v>
      </c>
      <c r="G124" s="195">
        <f>+G115+G116+G117+G114+G112+G111+G113+G118+G119+G122+G123</f>
        <v>47306.5</v>
      </c>
      <c r="H124" s="195">
        <f t="shared" si="114"/>
        <v>0.38258390618681765</v>
      </c>
      <c r="I124" s="195">
        <f>+I115+I116+I117+I114+I112+I111+I113+I118+I119+I122+I123</f>
        <v>1000</v>
      </c>
      <c r="J124" s="195">
        <f t="shared" si="114"/>
        <v>8.087343307723413E-3</v>
      </c>
      <c r="K124" s="195">
        <f>+K115+K116+K117+K114+K112+K111+K113+K118+K119+K122+K123</f>
        <v>3575583.23</v>
      </c>
      <c r="L124" s="195">
        <f t="shared" si="114"/>
        <v>28.916969106348564</v>
      </c>
      <c r="M124" s="195">
        <f>+M115+M116+M117+M114+M112+M111+M113+M118+M119+M122+M123</f>
        <v>3623889.73</v>
      </c>
      <c r="N124" s="195">
        <f t="shared" si="114"/>
        <v>29.307640355843105</v>
      </c>
      <c r="O124" s="195">
        <f>+O115+O116+O117+O114+O112+O111+O113+O118+O119+O122+O123</f>
        <v>8741110.2699999996</v>
      </c>
      <c r="P124" s="195">
        <f t="shared" si="114"/>
        <v>70.692359644156895</v>
      </c>
      <c r="Q124" s="195">
        <f>+Q115+Q116+Q117+Q114+Q112+Q111+Q113+Q118+Q119+Q122+Q123</f>
        <v>21091110.269999996</v>
      </c>
      <c r="R124" s="195">
        <f t="shared" si="107"/>
        <v>85.337286142018996</v>
      </c>
      <c r="S124" s="239"/>
      <c r="T124" s="239"/>
    </row>
    <row r="125" spans="1:20" ht="21.75" thickTop="1">
      <c r="S125" s="239"/>
      <c r="T125" s="239"/>
    </row>
  </sheetData>
  <mergeCells count="44">
    <mergeCell ref="Q109:R109"/>
    <mergeCell ref="A124:B124"/>
    <mergeCell ref="G109:H109"/>
    <mergeCell ref="I109:J109"/>
    <mergeCell ref="K109:L109"/>
    <mergeCell ref="M109:N109"/>
    <mergeCell ref="O109:P109"/>
    <mergeCell ref="A109:A110"/>
    <mergeCell ref="B109:B110"/>
    <mergeCell ref="C109:C110"/>
    <mergeCell ref="D109:D110"/>
    <mergeCell ref="E109:F109"/>
    <mergeCell ref="A6:R6"/>
    <mergeCell ref="M7:N7"/>
    <mergeCell ref="A100:B100"/>
    <mergeCell ref="A106:B106"/>
    <mergeCell ref="C85:C86"/>
    <mergeCell ref="E8:F8"/>
    <mergeCell ref="A85:A86"/>
    <mergeCell ref="B85:B86"/>
    <mergeCell ref="E85:F85"/>
    <mergeCell ref="D85:D86"/>
    <mergeCell ref="A8:A9"/>
    <mergeCell ref="B8:B9"/>
    <mergeCell ref="C8:C9"/>
    <mergeCell ref="D8:D9"/>
    <mergeCell ref="A77:B77"/>
    <mergeCell ref="Q85:R85"/>
    <mergeCell ref="A1:R1"/>
    <mergeCell ref="A2:R2"/>
    <mergeCell ref="A3:R3"/>
    <mergeCell ref="A4:R4"/>
    <mergeCell ref="A5:R5"/>
    <mergeCell ref="Q8:R8"/>
    <mergeCell ref="G85:H85"/>
    <mergeCell ref="I85:J85"/>
    <mergeCell ref="K85:L85"/>
    <mergeCell ref="M85:N85"/>
    <mergeCell ref="O85:P85"/>
    <mergeCell ref="G8:H8"/>
    <mergeCell ref="I8:J8"/>
    <mergeCell ref="K8:L8"/>
    <mergeCell ref="M8:N8"/>
    <mergeCell ref="O8:P8"/>
  </mergeCells>
  <pageMargins left="0.15748031496062992" right="0.15748031496062992" top="0.24" bottom="0.2" header="0.17" footer="0.15748031496062992"/>
  <pageSetup paperSize="9" scale="65" orientation="landscape" verticalDpi="0" r:id="rId1"/>
  <headerFooter>
    <oddHeader>&amp;R&amp;P/&amp;N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T148"/>
  <sheetViews>
    <sheetView topLeftCell="A7" workbookViewId="0">
      <pane xSplit="2" ySplit="3" topLeftCell="C64" activePane="bottomRight" state="frozen"/>
      <selection activeCell="A7" sqref="A7"/>
      <selection pane="topRight" activeCell="C7" sqref="C7"/>
      <selection pane="bottomLeft" activeCell="A10" sqref="A10"/>
      <selection pane="bottomRight" activeCell="D145" sqref="D145"/>
    </sheetView>
  </sheetViews>
  <sheetFormatPr defaultRowHeight="21"/>
  <cols>
    <col min="1" max="1" width="6.5" style="17" customWidth="1"/>
    <col min="2" max="2" width="31.625" style="17" customWidth="1"/>
    <col min="3" max="3" width="17" style="17" customWidth="1"/>
    <col min="4" max="4" width="16.75" style="17" customWidth="1"/>
    <col min="5" max="5" width="13.625" style="17" customWidth="1"/>
    <col min="6" max="6" width="6.5" style="17" bestFit="1" customWidth="1"/>
    <col min="7" max="7" width="12.625" style="17" customWidth="1"/>
    <col min="8" max="8" width="6.5" style="17" bestFit="1" customWidth="1"/>
    <col min="9" max="9" width="13.5" style="17" customWidth="1"/>
    <col min="10" max="10" width="7.625" style="17" customWidth="1"/>
    <col min="11" max="11" width="14.75" style="17" customWidth="1"/>
    <col min="12" max="12" width="8" style="23" customWidth="1"/>
    <col min="13" max="13" width="14.5" style="17" customWidth="1"/>
    <col min="14" max="14" width="8.625" style="17" customWidth="1"/>
    <col min="15" max="15" width="15.125" style="17" customWidth="1"/>
    <col min="16" max="16" width="7.625" style="17" bestFit="1" customWidth="1"/>
    <col min="17" max="17" width="15.5" style="17" customWidth="1"/>
    <col min="18" max="16384" width="9" style="17"/>
  </cols>
  <sheetData>
    <row r="1" spans="1:20">
      <c r="A1" s="1022" t="s">
        <v>105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  <c r="M1" s="1022"/>
      <c r="N1" s="1022"/>
      <c r="O1" s="1022"/>
      <c r="P1" s="1022"/>
      <c r="Q1" s="1022"/>
      <c r="R1" s="1022"/>
    </row>
    <row r="2" spans="1:20">
      <c r="A2" s="1021" t="s">
        <v>166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  <c r="L2" s="1021"/>
      <c r="M2" s="1021"/>
      <c r="N2" s="1021"/>
      <c r="O2" s="1021"/>
      <c r="P2" s="1021"/>
      <c r="Q2" s="1021"/>
      <c r="R2" s="1021"/>
    </row>
    <row r="3" spans="1:20">
      <c r="A3" s="1021" t="str">
        <f>+'ยอดเบิกตาม GFMIS'!A3:Q3</f>
        <v>ตั้งแต่วันที่ 1 ตุลาคม 2565 - 31 ธันวาคม 2565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R3" s="1021"/>
    </row>
    <row r="4" spans="1:20">
      <c r="A4" s="1021" t="str">
        <f>+'ยอดเบิกตาม GFMIS'!A4:Q4</f>
        <v xml:space="preserve"> เป้าหมาย อย. สิ้นสุด 31 ธ.ค.65  (ยอดเบิกจ่ายในภาพรวมรับจัดสรรงวดที่ 1 ร้อยละ 37.50 , งบลงทุน (เฉพาะรายการครุภัณฑ์จัดซื้อ) ร้อยละ 50)</v>
      </c>
      <c r="B4" s="1021"/>
      <c r="C4" s="1021"/>
      <c r="D4" s="1021"/>
      <c r="E4" s="1021"/>
      <c r="F4" s="1021"/>
      <c r="G4" s="1021"/>
      <c r="H4" s="1021"/>
      <c r="I4" s="1021"/>
      <c r="J4" s="1021"/>
      <c r="K4" s="1021"/>
      <c r="L4" s="1021"/>
      <c r="M4" s="1021"/>
      <c r="N4" s="1021"/>
      <c r="O4" s="1021"/>
      <c r="P4" s="1021"/>
      <c r="Q4" s="1021"/>
      <c r="R4" s="1021"/>
    </row>
    <row r="5" spans="1:20">
      <c r="A5" s="1021" t="str">
        <f>+'ยอดเบิกตาม GFMIS'!A5:Q5</f>
        <v xml:space="preserve"> เป้าหมายตามมติ ครม สิ้นสุด 31 ธ.ค.65  (ยอดเบิกจ่ายในภาพรวม ร้อยละ 32 , งบลงทุน  ร้อยละ 19)</v>
      </c>
      <c r="B5" s="1021"/>
      <c r="C5" s="1021"/>
      <c r="D5" s="1021"/>
      <c r="E5" s="1021"/>
      <c r="F5" s="1021"/>
      <c r="G5" s="1021"/>
      <c r="H5" s="1021"/>
      <c r="I5" s="1021"/>
      <c r="J5" s="1021"/>
      <c r="K5" s="1021"/>
      <c r="L5" s="1021"/>
      <c r="M5" s="1021"/>
      <c r="N5" s="1021"/>
      <c r="O5" s="1021"/>
      <c r="P5" s="1021"/>
      <c r="Q5" s="1021"/>
      <c r="R5" s="1021"/>
    </row>
    <row r="6" spans="1:20">
      <c r="A6" s="1021" t="str">
        <f>+'ยอดเบิกตาม GFMIS'!A6:Q6</f>
        <v xml:space="preserve"> เป้าหมายตามมติ ครม สิ้นสุด 31 ธ.ค.65  (ยอดใช้จ่ายในภาพรวม ร้อยละ 34.08 , งบลงทุน  ร้อยละ 28.96)</v>
      </c>
      <c r="B6" s="1021"/>
      <c r="C6" s="1021"/>
      <c r="D6" s="1021"/>
      <c r="E6" s="1021"/>
      <c r="F6" s="1021"/>
      <c r="G6" s="1021"/>
      <c r="H6" s="1021"/>
      <c r="I6" s="1021"/>
      <c r="J6" s="1021"/>
      <c r="K6" s="1021"/>
      <c r="L6" s="1021"/>
      <c r="M6" s="1021"/>
      <c r="N6" s="1021"/>
      <c r="O6" s="1021"/>
      <c r="P6" s="1021"/>
      <c r="Q6" s="1021"/>
      <c r="R6" s="1021"/>
    </row>
    <row r="7" spans="1:20" s="262" customFormat="1" ht="12.75" customHeight="1">
      <c r="A7" s="261"/>
      <c r="B7" s="261"/>
      <c r="C7" s="256" t="s">
        <v>191</v>
      </c>
      <c r="D7" s="256" t="s">
        <v>192</v>
      </c>
      <c r="E7" s="256" t="s">
        <v>193</v>
      </c>
      <c r="F7" s="256"/>
      <c r="G7" s="256" t="s">
        <v>194</v>
      </c>
      <c r="H7" s="256"/>
      <c r="I7" s="256" t="s">
        <v>195</v>
      </c>
      <c r="J7" s="256"/>
      <c r="K7" s="256" t="s">
        <v>196</v>
      </c>
      <c r="L7" s="268"/>
      <c r="M7" s="1054" t="s">
        <v>197</v>
      </c>
      <c r="N7" s="1054"/>
      <c r="O7" s="256" t="s">
        <v>198</v>
      </c>
      <c r="P7" s="256"/>
      <c r="Q7" s="256" t="s">
        <v>199</v>
      </c>
      <c r="R7" s="261"/>
    </row>
    <row r="8" spans="1:20" s="206" customFormat="1" ht="21" customHeight="1">
      <c r="A8" s="1081" t="s">
        <v>106</v>
      </c>
      <c r="B8" s="1082" t="s">
        <v>167</v>
      </c>
      <c r="C8" s="1059" t="s">
        <v>118</v>
      </c>
      <c r="D8" s="1059" t="s">
        <v>131</v>
      </c>
      <c r="E8" s="1027" t="s">
        <v>5</v>
      </c>
      <c r="F8" s="1027"/>
      <c r="G8" s="1028" t="s">
        <v>6</v>
      </c>
      <c r="H8" s="1028"/>
      <c r="I8" s="1017" t="s">
        <v>7</v>
      </c>
      <c r="J8" s="1017"/>
      <c r="K8" s="1018" t="s">
        <v>127</v>
      </c>
      <c r="L8" s="1018"/>
      <c r="M8" s="1067" t="s">
        <v>121</v>
      </c>
      <c r="N8" s="1067"/>
      <c r="O8" s="1020" t="s">
        <v>128</v>
      </c>
      <c r="P8" s="1020"/>
      <c r="Q8" s="1020" t="s">
        <v>129</v>
      </c>
      <c r="R8" s="1020"/>
    </row>
    <row r="9" spans="1:20" s="206" customFormat="1">
      <c r="A9" s="1081"/>
      <c r="B9" s="1082"/>
      <c r="C9" s="1059"/>
      <c r="D9" s="1059"/>
      <c r="E9" s="257" t="s">
        <v>119</v>
      </c>
      <c r="F9" s="257" t="s">
        <v>124</v>
      </c>
      <c r="G9" s="257" t="s">
        <v>119</v>
      </c>
      <c r="H9" s="257" t="s">
        <v>124</v>
      </c>
      <c r="I9" s="257" t="s">
        <v>119</v>
      </c>
      <c r="J9" s="257" t="s">
        <v>124</v>
      </c>
      <c r="K9" s="257" t="s">
        <v>119</v>
      </c>
      <c r="L9" s="3" t="s">
        <v>124</v>
      </c>
      <c r="M9" s="257" t="s">
        <v>119</v>
      </c>
      <c r="N9" s="257" t="s">
        <v>124</v>
      </c>
      <c r="O9" s="257" t="s">
        <v>119</v>
      </c>
      <c r="P9" s="257" t="s">
        <v>124</v>
      </c>
      <c r="Q9" s="257" t="s">
        <v>119</v>
      </c>
      <c r="R9" s="257" t="s">
        <v>124</v>
      </c>
    </row>
    <row r="10" spans="1:20">
      <c r="A10" s="1083" t="s">
        <v>168</v>
      </c>
      <c r="B10" s="1083"/>
      <c r="C10" s="263"/>
      <c r="D10" s="263"/>
      <c r="E10" s="263"/>
      <c r="F10" s="263"/>
      <c r="G10" s="263"/>
      <c r="H10" s="263"/>
      <c r="I10" s="263"/>
      <c r="J10" s="263"/>
      <c r="K10" s="263"/>
      <c r="L10" s="5"/>
      <c r="M10" s="263"/>
      <c r="N10" s="263"/>
      <c r="O10" s="263"/>
      <c r="P10" s="263"/>
      <c r="Q10" s="263"/>
      <c r="R10" s="263"/>
    </row>
    <row r="11" spans="1:20" s="28" customFormat="1">
      <c r="A11" s="257">
        <v>1</v>
      </c>
      <c r="B11" s="62" t="s">
        <v>59</v>
      </c>
      <c r="C11" s="223">
        <f>+DATA!K5</f>
        <v>1840800</v>
      </c>
      <c r="D11" s="223">
        <f>+DATA!L5</f>
        <v>920400</v>
      </c>
      <c r="E11" s="223">
        <f>+DATA!M5</f>
        <v>0</v>
      </c>
      <c r="F11" s="223">
        <f t="shared" ref="F11:F23" si="0">+E11*100/$D11</f>
        <v>0</v>
      </c>
      <c r="G11" s="223">
        <f>+DATA!N5</f>
        <v>28800</v>
      </c>
      <c r="H11" s="223">
        <f t="shared" ref="H11:H23" si="1">+G11*100/$D11</f>
        <v>3.1290743155149934</v>
      </c>
      <c r="I11" s="223">
        <f>+DATA!O5</f>
        <v>0</v>
      </c>
      <c r="J11" s="223">
        <f t="shared" ref="J11:J23" si="2">+I11*100/$D11</f>
        <v>0</v>
      </c>
      <c r="K11" s="223">
        <f>+DATA!P5</f>
        <v>301700</v>
      </c>
      <c r="L11" s="265">
        <f t="shared" ref="L11:L23" si="3">+K11*100/$D11</f>
        <v>32.779226423294219</v>
      </c>
      <c r="M11" s="223">
        <f t="shared" ref="M11:M31" si="4">+E11+G11+I11+K11</f>
        <v>330500</v>
      </c>
      <c r="N11" s="223">
        <f t="shared" ref="N11:N23" si="5">+M11*100/$D11</f>
        <v>35.90830073880921</v>
      </c>
      <c r="O11" s="223">
        <f t="shared" ref="O11:O31" si="6">+D11-M11</f>
        <v>589900</v>
      </c>
      <c r="P11" s="223">
        <f t="shared" ref="P11:P23" si="7">+O11*100/$D11</f>
        <v>64.091699261190783</v>
      </c>
      <c r="Q11" s="223">
        <f t="shared" ref="Q11:Q31" si="8">+C11-M11</f>
        <v>1510300</v>
      </c>
      <c r="R11" s="223">
        <f t="shared" ref="R11:R23" si="9">+Q11*100/C11</f>
        <v>82.045849630595399</v>
      </c>
      <c r="S11" s="241"/>
      <c r="T11" s="241"/>
    </row>
    <row r="12" spans="1:20">
      <c r="A12" s="264"/>
      <c r="B12" s="51" t="s">
        <v>64</v>
      </c>
      <c r="C12" s="221">
        <f>+DATA!K15</f>
        <v>72000</v>
      </c>
      <c r="D12" s="221">
        <f>+DATA!L15</f>
        <v>36000</v>
      </c>
      <c r="E12" s="221">
        <f>+DATA!M15</f>
        <v>0</v>
      </c>
      <c r="F12" s="221">
        <f t="shared" si="0"/>
        <v>0</v>
      </c>
      <c r="G12" s="221">
        <f>+DATA!N15</f>
        <v>0</v>
      </c>
      <c r="H12" s="221">
        <f t="shared" si="1"/>
        <v>0</v>
      </c>
      <c r="I12" s="221">
        <f>+DATA!O15</f>
        <v>0</v>
      </c>
      <c r="J12" s="221">
        <f t="shared" si="2"/>
        <v>0</v>
      </c>
      <c r="K12" s="221">
        <f>+DATA!P15</f>
        <v>24000</v>
      </c>
      <c r="L12" s="267">
        <f t="shared" si="3"/>
        <v>66.666666666666671</v>
      </c>
      <c r="M12" s="221">
        <f t="shared" ref="M12:M23" si="10">+E12+G12+I12+K12</f>
        <v>24000</v>
      </c>
      <c r="N12" s="221">
        <f t="shared" si="5"/>
        <v>66.666666666666671</v>
      </c>
      <c r="O12" s="221">
        <f t="shared" ref="O12:O23" si="11">+D12-M12</f>
        <v>12000</v>
      </c>
      <c r="P12" s="221">
        <f t="shared" si="7"/>
        <v>33.333333333333336</v>
      </c>
      <c r="Q12" s="221">
        <f t="shared" ref="Q12:Q23" si="12">+C12-M12</f>
        <v>48000</v>
      </c>
      <c r="R12" s="221">
        <f t="shared" si="9"/>
        <v>66.666666666666671</v>
      </c>
      <c r="S12" s="241"/>
      <c r="T12" s="241"/>
    </row>
    <row r="13" spans="1:20">
      <c r="A13" s="264"/>
      <c r="B13" s="51" t="s">
        <v>65</v>
      </c>
      <c r="C13" s="221">
        <f>+DATA!K16</f>
        <v>63600</v>
      </c>
      <c r="D13" s="221">
        <f>+DATA!L16</f>
        <v>31800</v>
      </c>
      <c r="E13" s="221">
        <f>+DATA!M16</f>
        <v>0</v>
      </c>
      <c r="F13" s="221">
        <f t="shared" si="0"/>
        <v>0</v>
      </c>
      <c r="G13" s="221">
        <f>+DATA!N16</f>
        <v>0</v>
      </c>
      <c r="H13" s="221">
        <f t="shared" si="1"/>
        <v>0</v>
      </c>
      <c r="I13" s="221">
        <f>+DATA!O16</f>
        <v>0</v>
      </c>
      <c r="J13" s="221">
        <f t="shared" si="2"/>
        <v>0</v>
      </c>
      <c r="K13" s="221">
        <f>+DATA!P16</f>
        <v>15900</v>
      </c>
      <c r="L13" s="267">
        <f t="shared" si="3"/>
        <v>50</v>
      </c>
      <c r="M13" s="221">
        <f t="shared" si="10"/>
        <v>15900</v>
      </c>
      <c r="N13" s="221">
        <f t="shared" si="5"/>
        <v>50</v>
      </c>
      <c r="O13" s="221">
        <f t="shared" si="11"/>
        <v>15900</v>
      </c>
      <c r="P13" s="221">
        <f t="shared" si="7"/>
        <v>50</v>
      </c>
      <c r="Q13" s="221">
        <f t="shared" si="12"/>
        <v>47700</v>
      </c>
      <c r="R13" s="221">
        <f t="shared" si="9"/>
        <v>75</v>
      </c>
      <c r="S13" s="241"/>
      <c r="T13" s="241"/>
    </row>
    <row r="14" spans="1:20">
      <c r="A14" s="264"/>
      <c r="B14" s="51" t="s">
        <v>69</v>
      </c>
      <c r="C14" s="221">
        <f>+DATA!K8</f>
        <v>72000</v>
      </c>
      <c r="D14" s="221">
        <f>+DATA!L8</f>
        <v>36000</v>
      </c>
      <c r="E14" s="221">
        <f>+DATA!M8</f>
        <v>0</v>
      </c>
      <c r="F14" s="221">
        <f t="shared" si="0"/>
        <v>0</v>
      </c>
      <c r="G14" s="221">
        <f>+DATA!N8</f>
        <v>0</v>
      </c>
      <c r="H14" s="221">
        <f t="shared" si="1"/>
        <v>0</v>
      </c>
      <c r="I14" s="221">
        <f>+DATA!O8</f>
        <v>0</v>
      </c>
      <c r="J14" s="221">
        <f t="shared" si="2"/>
        <v>0</v>
      </c>
      <c r="K14" s="221">
        <f>+DATA!P8</f>
        <v>18000</v>
      </c>
      <c r="L14" s="267">
        <f t="shared" si="3"/>
        <v>50</v>
      </c>
      <c r="M14" s="221">
        <f t="shared" si="10"/>
        <v>18000</v>
      </c>
      <c r="N14" s="221">
        <f t="shared" si="5"/>
        <v>50</v>
      </c>
      <c r="O14" s="221">
        <f t="shared" si="11"/>
        <v>18000</v>
      </c>
      <c r="P14" s="221">
        <f t="shared" si="7"/>
        <v>50</v>
      </c>
      <c r="Q14" s="221">
        <f t="shared" si="12"/>
        <v>54000</v>
      </c>
      <c r="R14" s="221">
        <f t="shared" si="9"/>
        <v>75</v>
      </c>
      <c r="S14" s="241"/>
      <c r="T14" s="241"/>
    </row>
    <row r="15" spans="1:20">
      <c r="A15" s="264"/>
      <c r="B15" s="51" t="s">
        <v>71</v>
      </c>
      <c r="C15" s="221">
        <f>+DATA!K19</f>
        <v>60000</v>
      </c>
      <c r="D15" s="221">
        <f>+DATA!L19</f>
        <v>30000</v>
      </c>
      <c r="E15" s="221">
        <f>+DATA!M19</f>
        <v>0</v>
      </c>
      <c r="F15" s="221">
        <f>+E15*100/$D15</f>
        <v>0</v>
      </c>
      <c r="G15" s="221">
        <f>+DATA!N19</f>
        <v>0</v>
      </c>
      <c r="H15" s="221">
        <f>+G15*100/$D15</f>
        <v>0</v>
      </c>
      <c r="I15" s="221">
        <f>+DATA!O19</f>
        <v>0</v>
      </c>
      <c r="J15" s="221">
        <f>+I15*100/$D15</f>
        <v>0</v>
      </c>
      <c r="K15" s="221">
        <f>+DATA!P19</f>
        <v>15000</v>
      </c>
      <c r="L15" s="267">
        <f>+K15*100/$D15</f>
        <v>50</v>
      </c>
      <c r="M15" s="221">
        <f>+E15+G15+I15+K15</f>
        <v>15000</v>
      </c>
      <c r="N15" s="221">
        <f>+M15*100/$D15</f>
        <v>50</v>
      </c>
      <c r="O15" s="221">
        <f>+D15-M15</f>
        <v>15000</v>
      </c>
      <c r="P15" s="221">
        <f>+O15*100/$D15</f>
        <v>50</v>
      </c>
      <c r="Q15" s="221">
        <f>+C15-M15</f>
        <v>45000</v>
      </c>
      <c r="R15" s="221">
        <f>+Q15*100/C15</f>
        <v>75</v>
      </c>
      <c r="S15" s="241"/>
      <c r="T15" s="241"/>
    </row>
    <row r="16" spans="1:20">
      <c r="A16" s="264"/>
      <c r="B16" s="51" t="s">
        <v>66</v>
      </c>
      <c r="C16" s="221">
        <f>+DATA!K12</f>
        <v>72000</v>
      </c>
      <c r="D16" s="221">
        <f>+DATA!L12</f>
        <v>36000</v>
      </c>
      <c r="E16" s="221">
        <f>+DATA!M12</f>
        <v>0</v>
      </c>
      <c r="F16" s="221">
        <f>+E16*100/$D16</f>
        <v>0</v>
      </c>
      <c r="G16" s="221">
        <f>+DATA!N12</f>
        <v>0</v>
      </c>
      <c r="H16" s="221">
        <f>+G16*100/$D16</f>
        <v>0</v>
      </c>
      <c r="I16" s="221">
        <f>+DATA!O12</f>
        <v>0</v>
      </c>
      <c r="J16" s="221">
        <f>+I16*100/$D16</f>
        <v>0</v>
      </c>
      <c r="K16" s="221">
        <f>+DATA!P12</f>
        <v>17700</v>
      </c>
      <c r="L16" s="267">
        <f>+K16*100/$D16</f>
        <v>49.166666666666664</v>
      </c>
      <c r="M16" s="221">
        <f>+E16+G16+I16+K16</f>
        <v>17700</v>
      </c>
      <c r="N16" s="221">
        <f>+M16*100/$D16</f>
        <v>49.166666666666664</v>
      </c>
      <c r="O16" s="221">
        <f>+D16-M16</f>
        <v>18300</v>
      </c>
      <c r="P16" s="221">
        <f>+O16*100/$D16</f>
        <v>50.833333333333336</v>
      </c>
      <c r="Q16" s="221">
        <f>+C16-M16</f>
        <v>54300</v>
      </c>
      <c r="R16" s="221">
        <f>+Q16*100/C16</f>
        <v>75.416666666666671</v>
      </c>
      <c r="S16" s="241"/>
      <c r="T16" s="241"/>
    </row>
    <row r="17" spans="1:20">
      <c r="A17" s="264"/>
      <c r="B17" s="51" t="s">
        <v>68</v>
      </c>
      <c r="C17" s="221">
        <f>+DATA!K14</f>
        <v>451200</v>
      </c>
      <c r="D17" s="221">
        <f>+DATA!L14</f>
        <v>225600</v>
      </c>
      <c r="E17" s="221">
        <f>+DATA!M14</f>
        <v>0</v>
      </c>
      <c r="F17" s="221">
        <f t="shared" si="0"/>
        <v>0</v>
      </c>
      <c r="G17" s="221">
        <f>+DATA!N14</f>
        <v>6000</v>
      </c>
      <c r="H17" s="221">
        <f t="shared" si="1"/>
        <v>2.6595744680851063</v>
      </c>
      <c r="I17" s="221">
        <f>+DATA!O14</f>
        <v>0</v>
      </c>
      <c r="J17" s="221">
        <f t="shared" si="2"/>
        <v>0</v>
      </c>
      <c r="K17" s="221">
        <f>+DATA!P14</f>
        <v>94800</v>
      </c>
      <c r="L17" s="267">
        <f t="shared" si="3"/>
        <v>42.021276595744681</v>
      </c>
      <c r="M17" s="221">
        <f t="shared" si="10"/>
        <v>100800</v>
      </c>
      <c r="N17" s="221">
        <f t="shared" si="5"/>
        <v>44.680851063829785</v>
      </c>
      <c r="O17" s="221">
        <f t="shared" si="11"/>
        <v>124800</v>
      </c>
      <c r="P17" s="221">
        <f t="shared" si="7"/>
        <v>55.319148936170215</v>
      </c>
      <c r="Q17" s="221">
        <f t="shared" si="12"/>
        <v>350400</v>
      </c>
      <c r="R17" s="221">
        <f t="shared" si="9"/>
        <v>77.659574468085111</v>
      </c>
      <c r="S17" s="241"/>
      <c r="T17" s="241"/>
    </row>
    <row r="18" spans="1:20">
      <c r="A18" s="264"/>
      <c r="B18" s="51" t="s">
        <v>67</v>
      </c>
      <c r="C18" s="221">
        <f>+DATA!K10</f>
        <v>42000</v>
      </c>
      <c r="D18" s="221">
        <f>+DATA!L10</f>
        <v>21000</v>
      </c>
      <c r="E18" s="221">
        <f>+DATA!M10</f>
        <v>0</v>
      </c>
      <c r="F18" s="221">
        <f>+E18*100/$D18</f>
        <v>0</v>
      </c>
      <c r="G18" s="221">
        <f>+DATA!N10</f>
        <v>0</v>
      </c>
      <c r="H18" s="221">
        <f>+G18*100/$D18</f>
        <v>0</v>
      </c>
      <c r="I18" s="221">
        <f>+DATA!O10</f>
        <v>0</v>
      </c>
      <c r="J18" s="221">
        <f>+I18*100/$D18</f>
        <v>0</v>
      </c>
      <c r="K18" s="221">
        <f>+DATA!P10</f>
        <v>7000</v>
      </c>
      <c r="L18" s="267">
        <f>+K18*100/$D18</f>
        <v>33.333333333333336</v>
      </c>
      <c r="M18" s="221">
        <f>+E18+G18+I18+K18</f>
        <v>7000</v>
      </c>
      <c r="N18" s="221">
        <f>+M18*100/$D18</f>
        <v>33.333333333333336</v>
      </c>
      <c r="O18" s="221">
        <f>+D18-M18</f>
        <v>14000</v>
      </c>
      <c r="P18" s="221">
        <f>+O18*100/$D18</f>
        <v>66.666666666666671</v>
      </c>
      <c r="Q18" s="221">
        <f>+C18-M18</f>
        <v>35000</v>
      </c>
      <c r="R18" s="221">
        <f>+Q18*100/C18</f>
        <v>83.333333333333329</v>
      </c>
      <c r="S18" s="241"/>
      <c r="T18" s="241"/>
    </row>
    <row r="19" spans="1:20">
      <c r="A19" s="264"/>
      <c r="B19" s="51" t="s">
        <v>62</v>
      </c>
      <c r="C19" s="221">
        <f>+DATA!K11</f>
        <v>276000</v>
      </c>
      <c r="D19" s="221">
        <f>+DATA!L11</f>
        <v>138000</v>
      </c>
      <c r="E19" s="221">
        <f>+DATA!M11</f>
        <v>0</v>
      </c>
      <c r="F19" s="221">
        <f t="shared" si="0"/>
        <v>0</v>
      </c>
      <c r="G19" s="221">
        <f>+DATA!N11</f>
        <v>0</v>
      </c>
      <c r="H19" s="221">
        <f t="shared" si="1"/>
        <v>0</v>
      </c>
      <c r="I19" s="221">
        <f>+DATA!O11</f>
        <v>0</v>
      </c>
      <c r="J19" s="221">
        <f t="shared" si="2"/>
        <v>0</v>
      </c>
      <c r="K19" s="221">
        <f>+DATA!P11</f>
        <v>40700</v>
      </c>
      <c r="L19" s="267">
        <f t="shared" si="3"/>
        <v>29.492753623188406</v>
      </c>
      <c r="M19" s="221">
        <f t="shared" si="10"/>
        <v>40700</v>
      </c>
      <c r="N19" s="221">
        <f t="shared" si="5"/>
        <v>29.492753623188406</v>
      </c>
      <c r="O19" s="221">
        <f t="shared" si="11"/>
        <v>97300</v>
      </c>
      <c r="P19" s="221">
        <f t="shared" si="7"/>
        <v>70.507246376811594</v>
      </c>
      <c r="Q19" s="221">
        <f t="shared" si="12"/>
        <v>235300</v>
      </c>
      <c r="R19" s="221">
        <f t="shared" si="9"/>
        <v>85.253623188405797</v>
      </c>
      <c r="S19" s="241"/>
      <c r="T19" s="241"/>
    </row>
    <row r="20" spans="1:20">
      <c r="A20" s="264"/>
      <c r="B20" s="51" t="s">
        <v>70</v>
      </c>
      <c r="C20" s="221">
        <f>+DATA!K18</f>
        <v>240000</v>
      </c>
      <c r="D20" s="221">
        <f>+DATA!L18</f>
        <v>120000</v>
      </c>
      <c r="E20" s="221">
        <f>+DATA!M18</f>
        <v>0</v>
      </c>
      <c r="F20" s="221">
        <f t="shared" si="0"/>
        <v>0</v>
      </c>
      <c r="G20" s="221">
        <f>+DATA!N18</f>
        <v>0</v>
      </c>
      <c r="H20" s="221">
        <f t="shared" si="1"/>
        <v>0</v>
      </c>
      <c r="I20" s="221">
        <f>+DATA!O18</f>
        <v>0</v>
      </c>
      <c r="J20" s="221">
        <f t="shared" si="2"/>
        <v>0</v>
      </c>
      <c r="K20" s="221">
        <f>+DATA!P18</f>
        <v>33000</v>
      </c>
      <c r="L20" s="267">
        <f t="shared" si="3"/>
        <v>27.5</v>
      </c>
      <c r="M20" s="221">
        <f t="shared" si="10"/>
        <v>33000</v>
      </c>
      <c r="N20" s="221">
        <f t="shared" si="5"/>
        <v>27.5</v>
      </c>
      <c r="O20" s="221">
        <f t="shared" si="11"/>
        <v>87000</v>
      </c>
      <c r="P20" s="221">
        <f t="shared" si="7"/>
        <v>72.5</v>
      </c>
      <c r="Q20" s="221">
        <f t="shared" si="12"/>
        <v>207000</v>
      </c>
      <c r="R20" s="221">
        <f t="shared" si="9"/>
        <v>86.25</v>
      </c>
      <c r="S20" s="241"/>
      <c r="T20" s="241"/>
    </row>
    <row r="21" spans="1:20">
      <c r="A21" s="264"/>
      <c r="B21" s="51" t="s">
        <v>63</v>
      </c>
      <c r="C21" s="221">
        <f>+DATA!K13</f>
        <v>144000</v>
      </c>
      <c r="D21" s="221">
        <f>+DATA!L13</f>
        <v>72000</v>
      </c>
      <c r="E21" s="221">
        <f>+DATA!M13</f>
        <v>0</v>
      </c>
      <c r="F21" s="221">
        <f t="shared" si="0"/>
        <v>0</v>
      </c>
      <c r="G21" s="221">
        <f>+DATA!N13</f>
        <v>0</v>
      </c>
      <c r="H21" s="221">
        <f t="shared" si="1"/>
        <v>0</v>
      </c>
      <c r="I21" s="221">
        <f>+DATA!O13</f>
        <v>0</v>
      </c>
      <c r="J21" s="221">
        <f t="shared" si="2"/>
        <v>0</v>
      </c>
      <c r="K21" s="221">
        <f>+DATA!P13</f>
        <v>18000</v>
      </c>
      <c r="L21" s="267">
        <f t="shared" si="3"/>
        <v>25</v>
      </c>
      <c r="M21" s="221">
        <f t="shared" si="10"/>
        <v>18000</v>
      </c>
      <c r="N21" s="221">
        <f t="shared" si="5"/>
        <v>25</v>
      </c>
      <c r="O21" s="221">
        <f t="shared" si="11"/>
        <v>54000</v>
      </c>
      <c r="P21" s="221">
        <f t="shared" si="7"/>
        <v>75</v>
      </c>
      <c r="Q21" s="221">
        <f t="shared" si="12"/>
        <v>126000</v>
      </c>
      <c r="R21" s="221">
        <f t="shared" si="9"/>
        <v>87.5</v>
      </c>
      <c r="S21" s="241"/>
      <c r="T21" s="241"/>
    </row>
    <row r="22" spans="1:20">
      <c r="A22" s="264"/>
      <c r="B22" s="51" t="s">
        <v>73</v>
      </c>
      <c r="C22" s="221">
        <f>+DATA!K9</f>
        <v>72000</v>
      </c>
      <c r="D22" s="221">
        <f>+DATA!L9</f>
        <v>36000</v>
      </c>
      <c r="E22" s="221">
        <f>+DATA!M9</f>
        <v>0</v>
      </c>
      <c r="F22" s="221">
        <f t="shared" si="0"/>
        <v>0</v>
      </c>
      <c r="G22" s="221">
        <f>+DATA!N9</f>
        <v>16800</v>
      </c>
      <c r="H22" s="221">
        <f t="shared" si="1"/>
        <v>46.666666666666664</v>
      </c>
      <c r="I22" s="221">
        <f>+DATA!O9</f>
        <v>0</v>
      </c>
      <c r="J22" s="221">
        <f t="shared" si="2"/>
        <v>0</v>
      </c>
      <c r="K22" s="221">
        <f>+DATA!P9</f>
        <v>5600</v>
      </c>
      <c r="L22" s="267">
        <f t="shared" si="3"/>
        <v>15.555555555555555</v>
      </c>
      <c r="M22" s="221">
        <f t="shared" si="10"/>
        <v>22400</v>
      </c>
      <c r="N22" s="221">
        <f t="shared" si="5"/>
        <v>62.222222222222221</v>
      </c>
      <c r="O22" s="221">
        <f t="shared" si="11"/>
        <v>13600</v>
      </c>
      <c r="P22" s="221">
        <f t="shared" si="7"/>
        <v>37.777777777777779</v>
      </c>
      <c r="Q22" s="221">
        <f t="shared" si="12"/>
        <v>49600</v>
      </c>
      <c r="R22" s="221">
        <f t="shared" si="9"/>
        <v>68.888888888888886</v>
      </c>
      <c r="S22" s="241"/>
      <c r="T22" s="241"/>
    </row>
    <row r="23" spans="1:20">
      <c r="A23" s="264"/>
      <c r="B23" s="51" t="s">
        <v>61</v>
      </c>
      <c r="C23" s="221">
        <f>+DATA!K6</f>
        <v>216000</v>
      </c>
      <c r="D23" s="221">
        <f>+DATA!L6</f>
        <v>108000</v>
      </c>
      <c r="E23" s="221">
        <f>+DATA!M6</f>
        <v>0</v>
      </c>
      <c r="F23" s="221">
        <f t="shared" si="0"/>
        <v>0</v>
      </c>
      <c r="G23" s="221">
        <f>+DATA!N6</f>
        <v>6000</v>
      </c>
      <c r="H23" s="221">
        <f t="shared" si="1"/>
        <v>5.5555555555555554</v>
      </c>
      <c r="I23" s="221">
        <f>+DATA!O6</f>
        <v>0</v>
      </c>
      <c r="J23" s="221">
        <f t="shared" si="2"/>
        <v>0</v>
      </c>
      <c r="K23" s="221">
        <f>+DATA!P6</f>
        <v>12000</v>
      </c>
      <c r="L23" s="267">
        <f t="shared" si="3"/>
        <v>11.111111111111111</v>
      </c>
      <c r="M23" s="221">
        <f t="shared" si="10"/>
        <v>18000</v>
      </c>
      <c r="N23" s="221">
        <f t="shared" si="5"/>
        <v>16.666666666666668</v>
      </c>
      <c r="O23" s="221">
        <f t="shared" si="11"/>
        <v>90000</v>
      </c>
      <c r="P23" s="221">
        <f t="shared" si="7"/>
        <v>83.333333333333329</v>
      </c>
      <c r="Q23" s="221">
        <f t="shared" si="12"/>
        <v>198000</v>
      </c>
      <c r="R23" s="221">
        <f t="shared" si="9"/>
        <v>91.666666666666671</v>
      </c>
      <c r="S23" s="241"/>
      <c r="T23" s="241"/>
    </row>
    <row r="24" spans="1:20">
      <c r="A24" s="264"/>
      <c r="B24" s="51" t="s">
        <v>72</v>
      </c>
      <c r="C24" s="221">
        <f>+DATA!K17</f>
        <v>60000</v>
      </c>
      <c r="D24" s="221">
        <f>+DATA!L17</f>
        <v>30000</v>
      </c>
      <c r="E24" s="221">
        <f>+DATA!M17</f>
        <v>0</v>
      </c>
      <c r="F24" s="221">
        <f t="shared" ref="F24:H31" si="13">+E24*100/$D24</f>
        <v>0</v>
      </c>
      <c r="G24" s="221">
        <f>+DATA!N17</f>
        <v>0</v>
      </c>
      <c r="H24" s="221">
        <f t="shared" si="13"/>
        <v>0</v>
      </c>
      <c r="I24" s="221">
        <f>+DATA!O17</f>
        <v>0</v>
      </c>
      <c r="J24" s="221">
        <f t="shared" ref="J24" si="14">+I24*100/$D24</f>
        <v>0</v>
      </c>
      <c r="K24" s="221">
        <f>+DATA!P17</f>
        <v>0</v>
      </c>
      <c r="L24" s="267">
        <f t="shared" ref="L24" si="15">+K24*100/$D24</f>
        <v>0</v>
      </c>
      <c r="M24" s="221">
        <f t="shared" si="4"/>
        <v>0</v>
      </c>
      <c r="N24" s="221">
        <f t="shared" ref="N24" si="16">+M24*100/$D24</f>
        <v>0</v>
      </c>
      <c r="O24" s="221">
        <f t="shared" si="6"/>
        <v>30000</v>
      </c>
      <c r="P24" s="221">
        <f t="shared" ref="P24" si="17">+O24*100/$D24</f>
        <v>100</v>
      </c>
      <c r="Q24" s="221">
        <f t="shared" si="8"/>
        <v>60000</v>
      </c>
      <c r="R24" s="221">
        <f t="shared" ref="R24:R31" si="18">+Q24*100/C24</f>
        <v>100</v>
      </c>
      <c r="S24" s="241"/>
      <c r="T24" s="241"/>
    </row>
    <row r="25" spans="1:20" s="28" customFormat="1">
      <c r="A25" s="257">
        <v>2</v>
      </c>
      <c r="B25" s="63" t="s">
        <v>13</v>
      </c>
      <c r="C25" s="223">
        <f>+DATA!K20</f>
        <v>1001800</v>
      </c>
      <c r="D25" s="223">
        <f>+DATA!L20</f>
        <v>500900</v>
      </c>
      <c r="E25" s="223">
        <f>+DATA!M20</f>
        <v>0</v>
      </c>
      <c r="F25" s="223">
        <f t="shared" si="13"/>
        <v>0</v>
      </c>
      <c r="G25" s="223">
        <f>+DATA!N20</f>
        <v>0</v>
      </c>
      <c r="H25" s="223">
        <f t="shared" si="13"/>
        <v>0</v>
      </c>
      <c r="I25" s="223">
        <f>+DATA!O20</f>
        <v>0</v>
      </c>
      <c r="J25" s="223">
        <f t="shared" ref="J25" si="19">+I25*100/$D25</f>
        <v>0</v>
      </c>
      <c r="K25" s="223">
        <f>+DATA!P20</f>
        <v>107372.48999999999</v>
      </c>
      <c r="L25" s="265">
        <f t="shared" ref="L25" si="20">+K25*100/$D25</f>
        <v>21.435913355959272</v>
      </c>
      <c r="M25" s="223">
        <f t="shared" si="4"/>
        <v>107372.48999999999</v>
      </c>
      <c r="N25" s="223">
        <f t="shared" ref="N25" si="21">+M25*100/$D25</f>
        <v>21.435913355959272</v>
      </c>
      <c r="O25" s="223">
        <f t="shared" si="6"/>
        <v>393527.51</v>
      </c>
      <c r="P25" s="223">
        <f t="shared" ref="P25" si="22">+O25*100/$D25</f>
        <v>78.564086644040728</v>
      </c>
      <c r="Q25" s="223">
        <f t="shared" si="8"/>
        <v>894427.51</v>
      </c>
      <c r="R25" s="223">
        <f t="shared" si="18"/>
        <v>89.282043322020357</v>
      </c>
      <c r="S25" s="241"/>
      <c r="T25" s="241"/>
    </row>
    <row r="26" spans="1:20" s="28" customFormat="1">
      <c r="A26" s="257">
        <v>3</v>
      </c>
      <c r="B26" s="63" t="s">
        <v>74</v>
      </c>
      <c r="C26" s="223">
        <f>+DATA!K21</f>
        <v>9900000</v>
      </c>
      <c r="D26" s="223">
        <f>+DATA!L21</f>
        <v>4950000</v>
      </c>
      <c r="E26" s="223">
        <f>+DATA!M21</f>
        <v>0</v>
      </c>
      <c r="F26" s="223">
        <f t="shared" si="13"/>
        <v>0</v>
      </c>
      <c r="G26" s="223">
        <f>+DATA!N21</f>
        <v>0</v>
      </c>
      <c r="H26" s="223">
        <f t="shared" si="13"/>
        <v>0</v>
      </c>
      <c r="I26" s="223">
        <f>+DATA!O21</f>
        <v>0</v>
      </c>
      <c r="J26" s="223">
        <f t="shared" ref="J26" si="23">+I26*100/$D26</f>
        <v>0</v>
      </c>
      <c r="K26" s="223">
        <f>+DATA!P21</f>
        <v>1852512.73</v>
      </c>
      <c r="L26" s="265">
        <f t="shared" ref="L26" si="24">+K26*100/$D26</f>
        <v>37.424499595959595</v>
      </c>
      <c r="M26" s="223">
        <f t="shared" si="4"/>
        <v>1852512.73</v>
      </c>
      <c r="N26" s="223">
        <f t="shared" ref="N26" si="25">+M26*100/$D26</f>
        <v>37.424499595959595</v>
      </c>
      <c r="O26" s="223">
        <f t="shared" si="6"/>
        <v>3097487.27</v>
      </c>
      <c r="P26" s="223">
        <f t="shared" ref="P26" si="26">+O26*100/$D26</f>
        <v>62.575500404040405</v>
      </c>
      <c r="Q26" s="223">
        <f t="shared" si="8"/>
        <v>8047487.2699999996</v>
      </c>
      <c r="R26" s="223">
        <f t="shared" si="18"/>
        <v>81.287750202020206</v>
      </c>
      <c r="S26" s="241"/>
      <c r="T26" s="241"/>
    </row>
    <row r="27" spans="1:20" s="28" customFormat="1">
      <c r="A27" s="257">
        <v>4</v>
      </c>
      <c r="B27" s="63" t="s">
        <v>14</v>
      </c>
      <c r="C27" s="223">
        <f>+DATA!K22</f>
        <v>10620000</v>
      </c>
      <c r="D27" s="223">
        <f>+DATA!L22</f>
        <v>5310000</v>
      </c>
      <c r="E27" s="223">
        <f>+DATA!M22</f>
        <v>0</v>
      </c>
      <c r="F27" s="223">
        <f t="shared" si="13"/>
        <v>0</v>
      </c>
      <c r="G27" s="223">
        <f>+DATA!N22</f>
        <v>0</v>
      </c>
      <c r="H27" s="223">
        <f t="shared" si="13"/>
        <v>0</v>
      </c>
      <c r="I27" s="223">
        <f>+DATA!O22</f>
        <v>0</v>
      </c>
      <c r="J27" s="223">
        <f t="shared" ref="J27" si="27">+I27*100/$D27</f>
        <v>0</v>
      </c>
      <c r="K27" s="223">
        <f>+DATA!P22</f>
        <v>2985000</v>
      </c>
      <c r="L27" s="265">
        <f t="shared" ref="L27" si="28">+K27*100/$D27</f>
        <v>56.21468926553672</v>
      </c>
      <c r="M27" s="223">
        <f t="shared" si="4"/>
        <v>2985000</v>
      </c>
      <c r="N27" s="223">
        <f t="shared" ref="N27" si="29">+M27*100/$D27</f>
        <v>56.21468926553672</v>
      </c>
      <c r="O27" s="223">
        <f t="shared" si="6"/>
        <v>2325000</v>
      </c>
      <c r="P27" s="223">
        <f t="shared" ref="P27" si="30">+O27*100/$D27</f>
        <v>43.78531073446328</v>
      </c>
      <c r="Q27" s="223">
        <f t="shared" si="8"/>
        <v>7635000</v>
      </c>
      <c r="R27" s="223">
        <f t="shared" si="18"/>
        <v>71.89265536723164</v>
      </c>
      <c r="S27" s="241"/>
      <c r="T27" s="241"/>
    </row>
    <row r="28" spans="1:20" s="28" customFormat="1">
      <c r="A28" s="257">
        <v>5</v>
      </c>
      <c r="B28" s="63" t="s">
        <v>15</v>
      </c>
      <c r="C28" s="223">
        <f>+DATA!K23</f>
        <v>48000</v>
      </c>
      <c r="D28" s="223">
        <f>+DATA!L23</f>
        <v>24000</v>
      </c>
      <c r="E28" s="223">
        <f>+DATA!M23</f>
        <v>0</v>
      </c>
      <c r="F28" s="223">
        <f t="shared" si="13"/>
        <v>0</v>
      </c>
      <c r="G28" s="223">
        <f>+DATA!N23</f>
        <v>0</v>
      </c>
      <c r="H28" s="223">
        <f t="shared" si="13"/>
        <v>0</v>
      </c>
      <c r="I28" s="223">
        <f>+DATA!O23</f>
        <v>0</v>
      </c>
      <c r="J28" s="223">
        <f t="shared" ref="J28" si="31">+I28*100/$D28</f>
        <v>0</v>
      </c>
      <c r="K28" s="223">
        <f>+DATA!P23</f>
        <v>0</v>
      </c>
      <c r="L28" s="265">
        <f t="shared" ref="L28" si="32">+K28*100/$D28</f>
        <v>0</v>
      </c>
      <c r="M28" s="223">
        <f t="shared" si="4"/>
        <v>0</v>
      </c>
      <c r="N28" s="223">
        <f t="shared" ref="N28" si="33">+M28*100/$D28</f>
        <v>0</v>
      </c>
      <c r="O28" s="223">
        <f t="shared" si="6"/>
        <v>24000</v>
      </c>
      <c r="P28" s="223">
        <f t="shared" ref="P28" si="34">+O28*100/$D28</f>
        <v>100</v>
      </c>
      <c r="Q28" s="223">
        <f t="shared" si="8"/>
        <v>48000</v>
      </c>
      <c r="R28" s="223">
        <f t="shared" si="18"/>
        <v>100</v>
      </c>
      <c r="S28" s="241"/>
      <c r="T28" s="241"/>
    </row>
    <row r="29" spans="1:20" s="28" customFormat="1">
      <c r="A29" s="257">
        <v>6</v>
      </c>
      <c r="B29" s="63" t="s">
        <v>16</v>
      </c>
      <c r="C29" s="223">
        <f>+DATA!K24</f>
        <v>963000</v>
      </c>
      <c r="D29" s="223">
        <f>+DATA!L24</f>
        <v>481500</v>
      </c>
      <c r="E29" s="223">
        <f>+DATA!M24</f>
        <v>0</v>
      </c>
      <c r="F29" s="223">
        <f t="shared" si="13"/>
        <v>0</v>
      </c>
      <c r="G29" s="223">
        <f>+DATA!N24</f>
        <v>0</v>
      </c>
      <c r="H29" s="223">
        <f t="shared" si="13"/>
        <v>0</v>
      </c>
      <c r="I29" s="223">
        <f>+DATA!O24</f>
        <v>0</v>
      </c>
      <c r="J29" s="223">
        <f t="shared" ref="J29" si="35">+I29*100/$D29</f>
        <v>0</v>
      </c>
      <c r="K29" s="223">
        <f>+DATA!P24</f>
        <v>140138</v>
      </c>
      <c r="L29" s="265">
        <f t="shared" ref="L29" si="36">+K29*100/$D29</f>
        <v>29.104465212876427</v>
      </c>
      <c r="M29" s="223">
        <f t="shared" si="4"/>
        <v>140138</v>
      </c>
      <c r="N29" s="223">
        <f t="shared" ref="N29" si="37">+M29*100/$D29</f>
        <v>29.104465212876427</v>
      </c>
      <c r="O29" s="223">
        <f t="shared" si="6"/>
        <v>341362</v>
      </c>
      <c r="P29" s="223">
        <f t="shared" ref="P29" si="38">+O29*100/$D29</f>
        <v>70.895534787123566</v>
      </c>
      <c r="Q29" s="223">
        <f t="shared" si="8"/>
        <v>822862</v>
      </c>
      <c r="R29" s="223">
        <f t="shared" si="18"/>
        <v>85.44776739356179</v>
      </c>
      <c r="S29" s="241"/>
      <c r="T29" s="241"/>
    </row>
    <row r="30" spans="1:20" s="28" customFormat="1">
      <c r="A30" s="257">
        <v>7</v>
      </c>
      <c r="B30" s="63" t="s">
        <v>17</v>
      </c>
      <c r="C30" s="223">
        <f>+DATA!K25</f>
        <v>56000</v>
      </c>
      <c r="D30" s="223">
        <f>+DATA!L25</f>
        <v>28000</v>
      </c>
      <c r="E30" s="223">
        <f>+DATA!M25</f>
        <v>0</v>
      </c>
      <c r="F30" s="223">
        <f t="shared" si="13"/>
        <v>0</v>
      </c>
      <c r="G30" s="223">
        <f>+DATA!N25</f>
        <v>0</v>
      </c>
      <c r="H30" s="223">
        <f t="shared" si="13"/>
        <v>0</v>
      </c>
      <c r="I30" s="223">
        <f>+DATA!O25</f>
        <v>0</v>
      </c>
      <c r="J30" s="223">
        <f t="shared" ref="J30" si="39">+I30*100/$D30</f>
        <v>0</v>
      </c>
      <c r="K30" s="223">
        <f>+DATA!P25</f>
        <v>0</v>
      </c>
      <c r="L30" s="265">
        <f t="shared" ref="L30" si="40">+K30*100/$D30</f>
        <v>0</v>
      </c>
      <c r="M30" s="223">
        <f t="shared" si="4"/>
        <v>0</v>
      </c>
      <c r="N30" s="223">
        <f t="shared" ref="N30" si="41">+M30*100/$D30</f>
        <v>0</v>
      </c>
      <c r="O30" s="223">
        <f t="shared" si="6"/>
        <v>28000</v>
      </c>
      <c r="P30" s="223">
        <f t="shared" ref="P30" si="42">+O30*100/$D30</f>
        <v>100</v>
      </c>
      <c r="Q30" s="223">
        <f t="shared" si="8"/>
        <v>56000</v>
      </c>
      <c r="R30" s="223">
        <f t="shared" si="18"/>
        <v>100</v>
      </c>
      <c r="S30" s="241"/>
      <c r="T30" s="241"/>
    </row>
    <row r="31" spans="1:20" s="28" customFormat="1">
      <c r="A31" s="240"/>
      <c r="B31" s="257" t="s">
        <v>183</v>
      </c>
      <c r="C31" s="223">
        <f>+C11+C25+C26+C27+C28+C29+C30</f>
        <v>24429600</v>
      </c>
      <c r="D31" s="223">
        <f>+D11+D25+D26+D27+D28+D29+D30</f>
        <v>12214800</v>
      </c>
      <c r="E31" s="223">
        <f>+E11+E25+E26+E27+E28+E29+E30</f>
        <v>0</v>
      </c>
      <c r="F31" s="223">
        <f t="shared" si="13"/>
        <v>0</v>
      </c>
      <c r="G31" s="223">
        <f>+G11+G25+G26+G27+G28+G29+G30</f>
        <v>28800</v>
      </c>
      <c r="H31" s="223">
        <f t="shared" si="13"/>
        <v>0.23577954612437371</v>
      </c>
      <c r="I31" s="223">
        <f>+I11+I25+I26+I27+I28+I29+I30</f>
        <v>0</v>
      </c>
      <c r="J31" s="223">
        <f t="shared" ref="J31" si="43">+I31*100/$D31</f>
        <v>0</v>
      </c>
      <c r="K31" s="223">
        <f>+K11+K25+K26+K27+K28+K29+K30</f>
        <v>5386723.2199999997</v>
      </c>
      <c r="L31" s="265">
        <f t="shared" ref="L31" si="44">+K31*100/$D31</f>
        <v>44.099970691292533</v>
      </c>
      <c r="M31" s="223">
        <f t="shared" si="4"/>
        <v>5415523.2199999997</v>
      </c>
      <c r="N31" s="223">
        <f t="shared" ref="N31" si="45">+M31*100/$D31</f>
        <v>44.335750237416903</v>
      </c>
      <c r="O31" s="223">
        <f t="shared" si="6"/>
        <v>6799276.7800000003</v>
      </c>
      <c r="P31" s="223">
        <f t="shared" ref="P31" si="46">+O31*100/$D31</f>
        <v>55.664249762583097</v>
      </c>
      <c r="Q31" s="223">
        <f t="shared" si="8"/>
        <v>19014076.780000001</v>
      </c>
      <c r="R31" s="223">
        <f t="shared" si="18"/>
        <v>77.832124881291548</v>
      </c>
      <c r="S31" s="241"/>
      <c r="T31" s="241"/>
    </row>
    <row r="32" spans="1:20">
      <c r="A32" s="1083" t="s">
        <v>179</v>
      </c>
      <c r="B32" s="1083"/>
      <c r="C32" s="263"/>
      <c r="D32" s="263"/>
      <c r="E32" s="263"/>
      <c r="F32" s="221"/>
      <c r="G32" s="263"/>
      <c r="H32" s="221"/>
      <c r="I32" s="263"/>
      <c r="J32" s="221"/>
      <c r="K32" s="263"/>
      <c r="L32" s="267"/>
      <c r="M32" s="221"/>
      <c r="N32" s="221"/>
      <c r="O32" s="221"/>
      <c r="P32" s="221"/>
      <c r="Q32" s="221"/>
      <c r="R32" s="221"/>
      <c r="S32" s="241"/>
      <c r="T32" s="241"/>
    </row>
    <row r="33" spans="1:20" s="266" customFormat="1">
      <c r="A33" s="4">
        <v>1</v>
      </c>
      <c r="B33" s="168" t="s">
        <v>90</v>
      </c>
      <c r="C33" s="265">
        <f>+DATA!K73</f>
        <v>5095470</v>
      </c>
      <c r="D33" s="265">
        <f>+DATA!L73</f>
        <v>2592820</v>
      </c>
      <c r="E33" s="265">
        <f>+DATA!M73</f>
        <v>0</v>
      </c>
      <c r="F33" s="265">
        <f t="shared" ref="F33:F75" si="47">+E33*100/$D33</f>
        <v>0</v>
      </c>
      <c r="G33" s="265">
        <f>+DATA!N73</f>
        <v>135595</v>
      </c>
      <c r="H33" s="265">
        <f t="shared" ref="H33:H75" si="48">+G33*100/$D33</f>
        <v>5.2296341435194114</v>
      </c>
      <c r="I33" s="265">
        <f>+DATA!O73</f>
        <v>0</v>
      </c>
      <c r="J33" s="265">
        <f t="shared" ref="J33:J75" si="49">+I33*100/$D33</f>
        <v>0</v>
      </c>
      <c r="K33" s="265">
        <f>+DATA!P73</f>
        <v>2142273.8899999997</v>
      </c>
      <c r="L33" s="265">
        <f t="shared" ref="L33:L75" si="50">+K33*100/$D33</f>
        <v>82.623317083330107</v>
      </c>
      <c r="M33" s="265">
        <f t="shared" ref="M33:M38" si="51">+E33+G33+I33+K33</f>
        <v>2277868.8899999997</v>
      </c>
      <c r="N33" s="265">
        <f t="shared" ref="N33:N75" si="52">+M33*100/$D33</f>
        <v>87.852951226849513</v>
      </c>
      <c r="O33" s="265">
        <f t="shared" ref="O33:O57" si="53">+D33-M33</f>
        <v>314951.11000000034</v>
      </c>
      <c r="P33" s="265">
        <f t="shared" ref="P33:P75" si="54">+O33*100/$D33</f>
        <v>12.147048773150482</v>
      </c>
      <c r="Q33" s="265">
        <f t="shared" ref="Q33:Q57" si="55">+C33-M33</f>
        <v>2817601.1100000003</v>
      </c>
      <c r="R33" s="265">
        <f t="shared" ref="R33:R57" si="56">+Q33*100/C33</f>
        <v>55.296196621705171</v>
      </c>
      <c r="S33" s="241"/>
      <c r="T33" s="241"/>
    </row>
    <row r="34" spans="1:20" s="23" customFormat="1">
      <c r="A34" s="5"/>
      <c r="B34" s="169" t="s">
        <v>75</v>
      </c>
      <c r="C34" s="267">
        <f>+DATA!K74</f>
        <v>5077970</v>
      </c>
      <c r="D34" s="267">
        <f>+DATA!L74</f>
        <v>2575320</v>
      </c>
      <c r="E34" s="267">
        <f>+DATA!M74</f>
        <v>0</v>
      </c>
      <c r="F34" s="267">
        <f t="shared" si="47"/>
        <v>0</v>
      </c>
      <c r="G34" s="267">
        <f>+DATA!N74</f>
        <v>135595</v>
      </c>
      <c r="H34" s="267">
        <f t="shared" si="48"/>
        <v>5.2651709302144978</v>
      </c>
      <c r="I34" s="267">
        <f>+DATA!O74</f>
        <v>0</v>
      </c>
      <c r="J34" s="267">
        <f t="shared" si="49"/>
        <v>0</v>
      </c>
      <c r="K34" s="267">
        <f>+DATA!P74</f>
        <v>2142273.8899999997</v>
      </c>
      <c r="L34" s="267">
        <f t="shared" si="50"/>
        <v>83.184765000077647</v>
      </c>
      <c r="M34" s="267">
        <f t="shared" si="51"/>
        <v>2277868.8899999997</v>
      </c>
      <c r="N34" s="267">
        <f t="shared" si="52"/>
        <v>88.449935930292142</v>
      </c>
      <c r="O34" s="267">
        <f t="shared" si="53"/>
        <v>297451.11000000034</v>
      </c>
      <c r="P34" s="267">
        <f t="shared" si="54"/>
        <v>11.550064069707854</v>
      </c>
      <c r="Q34" s="267">
        <f t="shared" si="55"/>
        <v>2800101.1100000003</v>
      </c>
      <c r="R34" s="267">
        <f t="shared" si="56"/>
        <v>55.142135735343075</v>
      </c>
      <c r="S34" s="241"/>
      <c r="T34" s="241"/>
    </row>
    <row r="35" spans="1:20" s="23" customFormat="1">
      <c r="A35" s="5"/>
      <c r="B35" s="169" t="s">
        <v>76</v>
      </c>
      <c r="C35" s="267">
        <f>+DATA!K75</f>
        <v>17500</v>
      </c>
      <c r="D35" s="267">
        <f>+DATA!L75</f>
        <v>17500</v>
      </c>
      <c r="E35" s="267">
        <f>+DATA!M75</f>
        <v>0</v>
      </c>
      <c r="F35" s="267">
        <f t="shared" si="47"/>
        <v>0</v>
      </c>
      <c r="G35" s="267">
        <f>+DATA!N75</f>
        <v>0</v>
      </c>
      <c r="H35" s="267">
        <f t="shared" si="48"/>
        <v>0</v>
      </c>
      <c r="I35" s="267">
        <f>+DATA!O75</f>
        <v>0</v>
      </c>
      <c r="J35" s="267">
        <f t="shared" si="49"/>
        <v>0</v>
      </c>
      <c r="K35" s="267">
        <f>+DATA!P75</f>
        <v>0</v>
      </c>
      <c r="L35" s="267">
        <f t="shared" si="50"/>
        <v>0</v>
      </c>
      <c r="M35" s="267">
        <f t="shared" si="51"/>
        <v>0</v>
      </c>
      <c r="N35" s="267">
        <f t="shared" si="52"/>
        <v>0</v>
      </c>
      <c r="O35" s="267">
        <f t="shared" si="53"/>
        <v>17500</v>
      </c>
      <c r="P35" s="267">
        <f t="shared" si="54"/>
        <v>100</v>
      </c>
      <c r="Q35" s="267">
        <f t="shared" si="55"/>
        <v>17500</v>
      </c>
      <c r="R35" s="267">
        <f t="shared" si="56"/>
        <v>100</v>
      </c>
      <c r="S35" s="241"/>
      <c r="T35" s="241"/>
    </row>
    <row r="36" spans="1:20" s="266" customFormat="1">
      <c r="A36" s="4">
        <v>2</v>
      </c>
      <c r="B36" s="168" t="s">
        <v>93</v>
      </c>
      <c r="C36" s="265">
        <f>+DATA!K82</f>
        <v>786900</v>
      </c>
      <c r="D36" s="265">
        <f>+DATA!L82</f>
        <v>393450</v>
      </c>
      <c r="E36" s="265">
        <f>+DATA!M82</f>
        <v>142260</v>
      </c>
      <c r="F36" s="265">
        <f t="shared" ref="F36:F50" si="57">+E36*100/$D36</f>
        <v>36.157072054898968</v>
      </c>
      <c r="G36" s="265">
        <f>+DATA!N82</f>
        <v>4280</v>
      </c>
      <c r="H36" s="265">
        <f t="shared" ref="H36:H50" si="58">+G36*100/$D36</f>
        <v>1.0878129368407676</v>
      </c>
      <c r="I36" s="265">
        <f>+DATA!O82</f>
        <v>0</v>
      </c>
      <c r="J36" s="265">
        <f t="shared" ref="J36:J50" si="59">+I36*100/$D36</f>
        <v>0</v>
      </c>
      <c r="K36" s="265">
        <f>+DATA!P82</f>
        <v>219442.74</v>
      </c>
      <c r="L36" s="265">
        <f t="shared" ref="L36:L50" si="60">+K36*100/$D36</f>
        <v>55.773983987800229</v>
      </c>
      <c r="M36" s="265">
        <f t="shared" si="51"/>
        <v>365982.74</v>
      </c>
      <c r="N36" s="265">
        <f t="shared" ref="N36:N50" si="61">+M36*100/$D36</f>
        <v>93.018868979539974</v>
      </c>
      <c r="O36" s="265">
        <f>+D36-M36</f>
        <v>27467.260000000009</v>
      </c>
      <c r="P36" s="265">
        <f t="shared" ref="P36:P50" si="62">+O36*100/$D36</f>
        <v>6.981131020460035</v>
      </c>
      <c r="Q36" s="265">
        <f>+C36-M36</f>
        <v>420917.26</v>
      </c>
      <c r="R36" s="265">
        <f>+Q36*100/C36</f>
        <v>53.490565510230013</v>
      </c>
      <c r="S36" s="241"/>
      <c r="T36" s="241"/>
    </row>
    <row r="37" spans="1:20" hidden="1">
      <c r="A37" s="263"/>
      <c r="B37" s="51" t="s">
        <v>75</v>
      </c>
      <c r="C37" s="221">
        <f>+DATA!K83</f>
        <v>786900</v>
      </c>
      <c r="D37" s="221">
        <f>+DATA!L83</f>
        <v>393450</v>
      </c>
      <c r="E37" s="221">
        <f>+DATA!M83</f>
        <v>142260</v>
      </c>
      <c r="F37" s="221">
        <f t="shared" si="57"/>
        <v>36.157072054898968</v>
      </c>
      <c r="G37" s="221">
        <f>+DATA!N83</f>
        <v>4280</v>
      </c>
      <c r="H37" s="221">
        <f t="shared" si="58"/>
        <v>1.0878129368407676</v>
      </c>
      <c r="I37" s="221">
        <f>+DATA!O83</f>
        <v>0</v>
      </c>
      <c r="J37" s="221">
        <f t="shared" si="59"/>
        <v>0</v>
      </c>
      <c r="K37" s="221">
        <f>+DATA!P83</f>
        <v>219442.74</v>
      </c>
      <c r="L37" s="267">
        <f t="shared" si="60"/>
        <v>55.773983987800229</v>
      </c>
      <c r="M37" s="221">
        <f t="shared" si="51"/>
        <v>365982.74</v>
      </c>
      <c r="N37" s="221">
        <f t="shared" si="61"/>
        <v>93.018868979539974</v>
      </c>
      <c r="O37" s="221">
        <f>+D37-M37</f>
        <v>27467.260000000009</v>
      </c>
      <c r="P37" s="221">
        <f t="shared" si="62"/>
        <v>6.981131020460035</v>
      </c>
      <c r="Q37" s="221">
        <f>+C37-M37</f>
        <v>420917.26</v>
      </c>
      <c r="R37" s="221">
        <f>+Q37*100/C37</f>
        <v>53.490565510230013</v>
      </c>
      <c r="S37" s="241"/>
      <c r="T37" s="241"/>
    </row>
    <row r="38" spans="1:20" hidden="1">
      <c r="A38" s="263"/>
      <c r="B38" s="51" t="s">
        <v>76</v>
      </c>
      <c r="C38" s="221">
        <f>+DATA!K84</f>
        <v>0</v>
      </c>
      <c r="D38" s="221">
        <f>+DATA!L84</f>
        <v>0</v>
      </c>
      <c r="E38" s="221">
        <f>+DATA!M84</f>
        <v>0</v>
      </c>
      <c r="F38" s="221" t="e">
        <f t="shared" si="57"/>
        <v>#DIV/0!</v>
      </c>
      <c r="G38" s="221">
        <f>+DATA!N84</f>
        <v>0</v>
      </c>
      <c r="H38" s="221" t="e">
        <f t="shared" si="58"/>
        <v>#DIV/0!</v>
      </c>
      <c r="I38" s="221">
        <f>+DATA!O84</f>
        <v>0</v>
      </c>
      <c r="J38" s="221" t="e">
        <f t="shared" si="59"/>
        <v>#DIV/0!</v>
      </c>
      <c r="K38" s="221">
        <f>+DATA!P84</f>
        <v>0</v>
      </c>
      <c r="L38" s="267" t="e">
        <f t="shared" si="60"/>
        <v>#DIV/0!</v>
      </c>
      <c r="M38" s="221">
        <f t="shared" si="51"/>
        <v>0</v>
      </c>
      <c r="N38" s="221" t="e">
        <f t="shared" si="61"/>
        <v>#DIV/0!</v>
      </c>
      <c r="O38" s="221">
        <f>+D38-M38</f>
        <v>0</v>
      </c>
      <c r="P38" s="221" t="e">
        <f t="shared" si="62"/>
        <v>#DIV/0!</v>
      </c>
      <c r="Q38" s="221">
        <f>+C38-M38</f>
        <v>0</v>
      </c>
      <c r="R38" s="221" t="e">
        <f>+Q38*100/C38</f>
        <v>#DIV/0!</v>
      </c>
      <c r="S38" s="241"/>
      <c r="T38" s="241"/>
    </row>
    <row r="39" spans="1:20" s="266" customFormat="1">
      <c r="A39" s="4">
        <v>3</v>
      </c>
      <c r="B39" s="168" t="s">
        <v>79</v>
      </c>
      <c r="C39" s="265">
        <f>+DATA!K40</f>
        <v>851290</v>
      </c>
      <c r="D39" s="265">
        <f>+DATA!L40</f>
        <v>529310</v>
      </c>
      <c r="E39" s="265">
        <f>+DATA!M40</f>
        <v>0</v>
      </c>
      <c r="F39" s="265">
        <f t="shared" si="57"/>
        <v>0</v>
      </c>
      <c r="G39" s="265">
        <f>+DATA!N40</f>
        <v>20300</v>
      </c>
      <c r="H39" s="265">
        <f t="shared" si="58"/>
        <v>3.8351816515841377</v>
      </c>
      <c r="I39" s="265">
        <f>+DATA!O40</f>
        <v>0</v>
      </c>
      <c r="J39" s="265">
        <f t="shared" si="59"/>
        <v>0</v>
      </c>
      <c r="K39" s="265">
        <f>+DATA!P40</f>
        <v>290033.05000000005</v>
      </c>
      <c r="L39" s="265">
        <f t="shared" si="60"/>
        <v>54.794553286353938</v>
      </c>
      <c r="M39" s="265">
        <f t="shared" ref="M39" si="63">+E39+G39+I39+K39</f>
        <v>310333.05000000005</v>
      </c>
      <c r="N39" s="265">
        <f t="shared" si="61"/>
        <v>58.629734937938075</v>
      </c>
      <c r="O39" s="265">
        <f t="shared" ref="O39" si="64">+D39-M39</f>
        <v>218976.94999999995</v>
      </c>
      <c r="P39" s="265">
        <f t="shared" si="62"/>
        <v>41.370265062061925</v>
      </c>
      <c r="Q39" s="265">
        <f t="shared" ref="Q39" si="65">+C39-M39</f>
        <v>540956.94999999995</v>
      </c>
      <c r="R39" s="265">
        <f t="shared" ref="R39" si="66">+Q39*100/C39</f>
        <v>63.545554393919808</v>
      </c>
      <c r="S39" s="241"/>
      <c r="T39" s="241"/>
    </row>
    <row r="40" spans="1:20" s="23" customFormat="1" hidden="1">
      <c r="A40" s="5"/>
      <c r="B40" s="169" t="s">
        <v>75</v>
      </c>
      <c r="C40" s="267">
        <f>+DATA!K41</f>
        <v>851290</v>
      </c>
      <c r="D40" s="267">
        <f>+DATA!L41</f>
        <v>529310</v>
      </c>
      <c r="E40" s="267">
        <f>+DATA!M41</f>
        <v>0</v>
      </c>
      <c r="F40" s="267">
        <f t="shared" si="57"/>
        <v>0</v>
      </c>
      <c r="G40" s="267">
        <f>+DATA!N41</f>
        <v>20300</v>
      </c>
      <c r="H40" s="267">
        <f t="shared" si="58"/>
        <v>3.8351816515841377</v>
      </c>
      <c r="I40" s="267">
        <f>+DATA!O41</f>
        <v>0</v>
      </c>
      <c r="J40" s="267">
        <f t="shared" si="59"/>
        <v>0</v>
      </c>
      <c r="K40" s="267">
        <f>+DATA!P41</f>
        <v>290033.05000000005</v>
      </c>
      <c r="L40" s="267">
        <f t="shared" si="60"/>
        <v>54.794553286353938</v>
      </c>
      <c r="M40" s="267">
        <f t="shared" ref="M40:M41" si="67">+E40+G40+I40+K40</f>
        <v>310333.05000000005</v>
      </c>
      <c r="N40" s="267">
        <f t="shared" si="61"/>
        <v>58.629734937938075</v>
      </c>
      <c r="O40" s="267">
        <f t="shared" ref="O40:O41" si="68">+D40-M40</f>
        <v>218976.94999999995</v>
      </c>
      <c r="P40" s="267">
        <f t="shared" si="62"/>
        <v>41.370265062061925</v>
      </c>
      <c r="Q40" s="267">
        <f t="shared" ref="Q40:Q41" si="69">+C40-M40</f>
        <v>540956.94999999995</v>
      </c>
      <c r="R40" s="267">
        <f t="shared" ref="R40:R41" si="70">+Q40*100/C40</f>
        <v>63.545554393919808</v>
      </c>
      <c r="S40" s="241"/>
      <c r="T40" s="241"/>
    </row>
    <row r="41" spans="1:20" s="23" customFormat="1" hidden="1">
      <c r="A41" s="5"/>
      <c r="B41" s="169" t="s">
        <v>76</v>
      </c>
      <c r="C41" s="267">
        <f>+DATA!K42</f>
        <v>0</v>
      </c>
      <c r="D41" s="267">
        <f>+DATA!L42</f>
        <v>0</v>
      </c>
      <c r="E41" s="267">
        <f>+DATA!M42</f>
        <v>0</v>
      </c>
      <c r="F41" s="267" t="e">
        <f t="shared" si="57"/>
        <v>#DIV/0!</v>
      </c>
      <c r="G41" s="267">
        <f>+DATA!N42</f>
        <v>0</v>
      </c>
      <c r="H41" s="267" t="e">
        <f t="shared" si="58"/>
        <v>#DIV/0!</v>
      </c>
      <c r="I41" s="267">
        <f>+DATA!O42</f>
        <v>0</v>
      </c>
      <c r="J41" s="267" t="e">
        <f t="shared" si="59"/>
        <v>#DIV/0!</v>
      </c>
      <c r="K41" s="267">
        <f>+DATA!P42</f>
        <v>0</v>
      </c>
      <c r="L41" s="267" t="e">
        <f t="shared" si="60"/>
        <v>#DIV/0!</v>
      </c>
      <c r="M41" s="267">
        <f t="shared" si="67"/>
        <v>0</v>
      </c>
      <c r="N41" s="267" t="e">
        <f t="shared" si="61"/>
        <v>#DIV/0!</v>
      </c>
      <c r="O41" s="267">
        <f t="shared" si="68"/>
        <v>0</v>
      </c>
      <c r="P41" s="267" t="e">
        <f t="shared" si="62"/>
        <v>#DIV/0!</v>
      </c>
      <c r="Q41" s="267">
        <f t="shared" si="69"/>
        <v>0</v>
      </c>
      <c r="R41" s="267" t="e">
        <f t="shared" si="70"/>
        <v>#DIV/0!</v>
      </c>
      <c r="S41" s="241"/>
      <c r="T41" s="241"/>
    </row>
    <row r="42" spans="1:20" s="266" customFormat="1">
      <c r="A42" s="4">
        <v>4</v>
      </c>
      <c r="B42" s="168" t="s">
        <v>58</v>
      </c>
      <c r="C42" s="265">
        <f>+DATA!K31</f>
        <v>395950</v>
      </c>
      <c r="D42" s="265">
        <f>+DATA!L31</f>
        <v>197975</v>
      </c>
      <c r="E42" s="265">
        <f>+DATA!M31</f>
        <v>0</v>
      </c>
      <c r="F42" s="265">
        <f t="shared" si="57"/>
        <v>0</v>
      </c>
      <c r="G42" s="265">
        <f>+DATA!N31</f>
        <v>29760</v>
      </c>
      <c r="H42" s="265">
        <f t="shared" si="58"/>
        <v>15.032201035484277</v>
      </c>
      <c r="I42" s="265">
        <f>+DATA!O31</f>
        <v>0</v>
      </c>
      <c r="J42" s="265">
        <f t="shared" si="59"/>
        <v>0</v>
      </c>
      <c r="K42" s="265">
        <f>+DATA!P31</f>
        <v>104926.06</v>
      </c>
      <c r="L42" s="265">
        <f t="shared" si="60"/>
        <v>52.999651471145349</v>
      </c>
      <c r="M42" s="265">
        <f t="shared" ref="M42:M47" si="71">+E42+G42+I42+K42</f>
        <v>134686.06</v>
      </c>
      <c r="N42" s="265">
        <f t="shared" si="61"/>
        <v>68.031852506629619</v>
      </c>
      <c r="O42" s="265">
        <f t="shared" ref="O42:O47" si="72">+D42-M42</f>
        <v>63288.94</v>
      </c>
      <c r="P42" s="265">
        <f t="shared" si="62"/>
        <v>31.968147493370374</v>
      </c>
      <c r="Q42" s="265">
        <f t="shared" ref="Q42:Q47" si="73">+C42-M42</f>
        <v>261263.94</v>
      </c>
      <c r="R42" s="265">
        <f t="shared" ref="R42:R50" si="74">+Q42*100/C42</f>
        <v>65.984073746685183</v>
      </c>
      <c r="S42" s="241"/>
      <c r="T42" s="241"/>
    </row>
    <row r="43" spans="1:20" s="23" customFormat="1" hidden="1">
      <c r="A43" s="5"/>
      <c r="B43" s="169" t="s">
        <v>75</v>
      </c>
      <c r="C43" s="267">
        <f>+DATA!K32</f>
        <v>395950</v>
      </c>
      <c r="D43" s="267">
        <f>+DATA!L32</f>
        <v>197975</v>
      </c>
      <c r="E43" s="267">
        <f>+DATA!M32</f>
        <v>0</v>
      </c>
      <c r="F43" s="267">
        <f t="shared" si="57"/>
        <v>0</v>
      </c>
      <c r="G43" s="267">
        <f>+DATA!N32</f>
        <v>29760</v>
      </c>
      <c r="H43" s="267">
        <f t="shared" si="58"/>
        <v>15.032201035484277</v>
      </c>
      <c r="I43" s="267">
        <f>+DATA!O32</f>
        <v>0</v>
      </c>
      <c r="J43" s="267">
        <f t="shared" si="59"/>
        <v>0</v>
      </c>
      <c r="K43" s="267">
        <f>+DATA!P32</f>
        <v>104926.06</v>
      </c>
      <c r="L43" s="267">
        <f t="shared" si="60"/>
        <v>52.999651471145349</v>
      </c>
      <c r="M43" s="267">
        <f t="shared" si="71"/>
        <v>134686.06</v>
      </c>
      <c r="N43" s="267">
        <f t="shared" si="61"/>
        <v>68.031852506629619</v>
      </c>
      <c r="O43" s="267">
        <f t="shared" si="72"/>
        <v>63288.94</v>
      </c>
      <c r="P43" s="267">
        <f t="shared" si="62"/>
        <v>31.968147493370374</v>
      </c>
      <c r="Q43" s="267">
        <f t="shared" si="73"/>
        <v>261263.94</v>
      </c>
      <c r="R43" s="267">
        <f t="shared" si="74"/>
        <v>65.984073746685183</v>
      </c>
      <c r="S43" s="241"/>
      <c r="T43" s="241"/>
    </row>
    <row r="44" spans="1:20" s="23" customFormat="1" hidden="1">
      <c r="A44" s="5"/>
      <c r="B44" s="169" t="s">
        <v>76</v>
      </c>
      <c r="C44" s="267">
        <f>+DATA!K33</f>
        <v>0</v>
      </c>
      <c r="D44" s="267">
        <f>+DATA!L33</f>
        <v>0</v>
      </c>
      <c r="E44" s="267">
        <f>+DATA!M33</f>
        <v>0</v>
      </c>
      <c r="F44" s="267" t="e">
        <f t="shared" si="57"/>
        <v>#DIV/0!</v>
      </c>
      <c r="G44" s="267">
        <f>+DATA!N33</f>
        <v>0</v>
      </c>
      <c r="H44" s="267" t="e">
        <f t="shared" si="58"/>
        <v>#DIV/0!</v>
      </c>
      <c r="I44" s="267">
        <f>+DATA!O33</f>
        <v>0</v>
      </c>
      <c r="J44" s="267" t="e">
        <f t="shared" si="59"/>
        <v>#DIV/0!</v>
      </c>
      <c r="K44" s="267">
        <f>+DATA!P33</f>
        <v>0</v>
      </c>
      <c r="L44" s="267" t="e">
        <f t="shared" si="60"/>
        <v>#DIV/0!</v>
      </c>
      <c r="M44" s="267">
        <f t="shared" si="71"/>
        <v>0</v>
      </c>
      <c r="N44" s="267" t="e">
        <f t="shared" si="61"/>
        <v>#DIV/0!</v>
      </c>
      <c r="O44" s="267">
        <f t="shared" si="72"/>
        <v>0</v>
      </c>
      <c r="P44" s="267" t="e">
        <f t="shared" si="62"/>
        <v>#DIV/0!</v>
      </c>
      <c r="Q44" s="267">
        <f t="shared" si="73"/>
        <v>0</v>
      </c>
      <c r="R44" s="267" t="e">
        <f t="shared" si="74"/>
        <v>#DIV/0!</v>
      </c>
      <c r="S44" s="241"/>
      <c r="T44" s="241"/>
    </row>
    <row r="45" spans="1:20" s="266" customFormat="1">
      <c r="A45" s="4">
        <v>5</v>
      </c>
      <c r="B45" s="168" t="s">
        <v>84</v>
      </c>
      <c r="C45" s="265">
        <f>+DATA!K55</f>
        <v>7416110</v>
      </c>
      <c r="D45" s="265">
        <f>+DATA!L55</f>
        <v>4811710</v>
      </c>
      <c r="E45" s="265">
        <f>+DATA!M55</f>
        <v>0</v>
      </c>
      <c r="F45" s="265">
        <f t="shared" si="57"/>
        <v>0</v>
      </c>
      <c r="G45" s="265">
        <f>+DATA!N55</f>
        <v>83202</v>
      </c>
      <c r="H45" s="265">
        <f t="shared" si="58"/>
        <v>1.7291565784305372</v>
      </c>
      <c r="I45" s="265">
        <f>+DATA!O55</f>
        <v>82627.3</v>
      </c>
      <c r="J45" s="265">
        <f t="shared" si="59"/>
        <v>1.7172127996076239</v>
      </c>
      <c r="K45" s="265">
        <f>+DATA!P55</f>
        <v>2524293.19</v>
      </c>
      <c r="L45" s="265">
        <f t="shared" si="60"/>
        <v>52.461457361312299</v>
      </c>
      <c r="M45" s="265">
        <f t="shared" si="71"/>
        <v>2690122.4899999998</v>
      </c>
      <c r="N45" s="265">
        <f t="shared" si="61"/>
        <v>55.907826739350462</v>
      </c>
      <c r="O45" s="265">
        <f t="shared" si="72"/>
        <v>2121587.5100000002</v>
      </c>
      <c r="P45" s="265">
        <f t="shared" si="62"/>
        <v>44.092173260649545</v>
      </c>
      <c r="Q45" s="265">
        <f t="shared" si="73"/>
        <v>4725987.51</v>
      </c>
      <c r="R45" s="265">
        <f t="shared" si="74"/>
        <v>63.725962937442944</v>
      </c>
      <c r="S45" s="241"/>
      <c r="T45" s="241"/>
    </row>
    <row r="46" spans="1:20" s="23" customFormat="1">
      <c r="A46" s="5"/>
      <c r="B46" s="169" t="s">
        <v>75</v>
      </c>
      <c r="C46" s="267">
        <f>+DATA!K56</f>
        <v>7032110</v>
      </c>
      <c r="D46" s="267">
        <f>+DATA!L56</f>
        <v>4427710</v>
      </c>
      <c r="E46" s="267">
        <f>+DATA!M56</f>
        <v>0</v>
      </c>
      <c r="F46" s="267">
        <f t="shared" si="57"/>
        <v>0</v>
      </c>
      <c r="G46" s="267">
        <f>+DATA!N56</f>
        <v>83202</v>
      </c>
      <c r="H46" s="267">
        <f t="shared" si="58"/>
        <v>1.8791203579276872</v>
      </c>
      <c r="I46" s="267">
        <f>+DATA!O56</f>
        <v>82627.3</v>
      </c>
      <c r="J46" s="267">
        <f t="shared" si="59"/>
        <v>1.8661407364077593</v>
      </c>
      <c r="K46" s="267">
        <f>+DATA!P56</f>
        <v>2472823.19</v>
      </c>
      <c r="L46" s="267">
        <f t="shared" si="60"/>
        <v>55.848806493650216</v>
      </c>
      <c r="M46" s="267">
        <f t="shared" si="71"/>
        <v>2638652.4899999998</v>
      </c>
      <c r="N46" s="267">
        <f t="shared" si="61"/>
        <v>59.594067587985656</v>
      </c>
      <c r="O46" s="267">
        <f t="shared" si="72"/>
        <v>1789057.5100000002</v>
      </c>
      <c r="P46" s="267">
        <f t="shared" si="62"/>
        <v>40.405932412014344</v>
      </c>
      <c r="Q46" s="267">
        <f t="shared" si="73"/>
        <v>4393457.51</v>
      </c>
      <c r="R46" s="267">
        <f t="shared" si="74"/>
        <v>62.477087389133558</v>
      </c>
      <c r="S46" s="241"/>
      <c r="T46" s="241"/>
    </row>
    <row r="47" spans="1:20" s="23" customFormat="1">
      <c r="A47" s="5"/>
      <c r="B47" s="169" t="s">
        <v>76</v>
      </c>
      <c r="C47" s="267">
        <f>+DATA!K57</f>
        <v>384000</v>
      </c>
      <c r="D47" s="267">
        <f>+DATA!L57</f>
        <v>384000</v>
      </c>
      <c r="E47" s="267">
        <f>+DATA!M57</f>
        <v>0</v>
      </c>
      <c r="F47" s="267">
        <f t="shared" si="57"/>
        <v>0</v>
      </c>
      <c r="G47" s="267">
        <f>+DATA!N57</f>
        <v>0</v>
      </c>
      <c r="H47" s="267">
        <f t="shared" si="58"/>
        <v>0</v>
      </c>
      <c r="I47" s="267">
        <f>+DATA!O57</f>
        <v>0</v>
      </c>
      <c r="J47" s="267">
        <f t="shared" si="59"/>
        <v>0</v>
      </c>
      <c r="K47" s="267">
        <f>+DATA!P57</f>
        <v>51470</v>
      </c>
      <c r="L47" s="267">
        <f t="shared" si="60"/>
        <v>13.403645833333334</v>
      </c>
      <c r="M47" s="267">
        <f t="shared" si="71"/>
        <v>51470</v>
      </c>
      <c r="N47" s="267">
        <f t="shared" si="61"/>
        <v>13.403645833333334</v>
      </c>
      <c r="O47" s="267">
        <f t="shared" si="72"/>
        <v>332530</v>
      </c>
      <c r="P47" s="267">
        <f t="shared" si="62"/>
        <v>86.596354166666671</v>
      </c>
      <c r="Q47" s="267">
        <f t="shared" si="73"/>
        <v>332530</v>
      </c>
      <c r="R47" s="267">
        <f t="shared" si="74"/>
        <v>86.596354166666671</v>
      </c>
      <c r="S47" s="241"/>
      <c r="T47" s="241"/>
    </row>
    <row r="48" spans="1:20" s="266" customFormat="1">
      <c r="A48" s="4">
        <v>6</v>
      </c>
      <c r="B48" s="168" t="s">
        <v>80</v>
      </c>
      <c r="C48" s="265">
        <f>+DATA!K43</f>
        <v>629600</v>
      </c>
      <c r="D48" s="265">
        <f>+DATA!L43</f>
        <v>314800</v>
      </c>
      <c r="E48" s="265">
        <f>+DATA!M43</f>
        <v>0</v>
      </c>
      <c r="F48" s="265">
        <f t="shared" si="57"/>
        <v>0</v>
      </c>
      <c r="G48" s="265">
        <f>+DATA!N43</f>
        <v>0</v>
      </c>
      <c r="H48" s="265">
        <f t="shared" si="58"/>
        <v>0</v>
      </c>
      <c r="I48" s="265">
        <f>+DATA!O43</f>
        <v>0</v>
      </c>
      <c r="J48" s="265">
        <f t="shared" si="59"/>
        <v>0</v>
      </c>
      <c r="K48" s="265">
        <f>+DATA!P43</f>
        <v>162115.90000000002</v>
      </c>
      <c r="L48" s="265">
        <f t="shared" si="60"/>
        <v>51.498062261753503</v>
      </c>
      <c r="M48" s="265">
        <f t="shared" ref="M48:M50" si="75">+E48+G48+I48+K48</f>
        <v>162115.90000000002</v>
      </c>
      <c r="N48" s="265">
        <f t="shared" si="61"/>
        <v>51.498062261753503</v>
      </c>
      <c r="O48" s="265">
        <f t="shared" ref="O48:O50" si="76">+D48-M48</f>
        <v>152684.09999999998</v>
      </c>
      <c r="P48" s="265">
        <f t="shared" si="62"/>
        <v>48.501937738246497</v>
      </c>
      <c r="Q48" s="265">
        <f t="shared" ref="Q48:Q50" si="77">+C48-M48</f>
        <v>467484.1</v>
      </c>
      <c r="R48" s="265">
        <f t="shared" si="74"/>
        <v>74.250968869123255</v>
      </c>
      <c r="S48" s="241"/>
      <c r="T48" s="241"/>
    </row>
    <row r="49" spans="1:20" s="23" customFormat="1" hidden="1">
      <c r="A49" s="5"/>
      <c r="B49" s="169" t="s">
        <v>75</v>
      </c>
      <c r="C49" s="267">
        <f>+DATA!K44</f>
        <v>629600</v>
      </c>
      <c r="D49" s="267">
        <f>+DATA!L44</f>
        <v>314800</v>
      </c>
      <c r="E49" s="267">
        <f>+DATA!M44</f>
        <v>0</v>
      </c>
      <c r="F49" s="267">
        <f t="shared" si="57"/>
        <v>0</v>
      </c>
      <c r="G49" s="267">
        <f>+DATA!N44</f>
        <v>0</v>
      </c>
      <c r="H49" s="267">
        <f t="shared" si="58"/>
        <v>0</v>
      </c>
      <c r="I49" s="267">
        <f>+DATA!O44</f>
        <v>0</v>
      </c>
      <c r="J49" s="267">
        <f t="shared" si="59"/>
        <v>0</v>
      </c>
      <c r="K49" s="267">
        <f>+DATA!P44</f>
        <v>162115.90000000002</v>
      </c>
      <c r="L49" s="267">
        <f t="shared" si="60"/>
        <v>51.498062261753503</v>
      </c>
      <c r="M49" s="267">
        <f t="shared" si="75"/>
        <v>162115.90000000002</v>
      </c>
      <c r="N49" s="267">
        <f t="shared" si="61"/>
        <v>51.498062261753503</v>
      </c>
      <c r="O49" s="267">
        <f t="shared" si="76"/>
        <v>152684.09999999998</v>
      </c>
      <c r="P49" s="267">
        <f t="shared" si="62"/>
        <v>48.501937738246497</v>
      </c>
      <c r="Q49" s="267">
        <f t="shared" si="77"/>
        <v>467484.1</v>
      </c>
      <c r="R49" s="267">
        <f t="shared" si="74"/>
        <v>74.250968869123255</v>
      </c>
      <c r="S49" s="241"/>
      <c r="T49" s="241"/>
    </row>
    <row r="50" spans="1:20" s="23" customFormat="1" hidden="1">
      <c r="A50" s="5"/>
      <c r="B50" s="169" t="s">
        <v>76</v>
      </c>
      <c r="C50" s="267">
        <f>+DATA!K45</f>
        <v>0</v>
      </c>
      <c r="D50" s="267">
        <f>+DATA!L45</f>
        <v>0</v>
      </c>
      <c r="E50" s="267">
        <f>+DATA!M45</f>
        <v>0</v>
      </c>
      <c r="F50" s="267" t="e">
        <f t="shared" si="57"/>
        <v>#DIV/0!</v>
      </c>
      <c r="G50" s="267">
        <f>+DATA!N45</f>
        <v>0</v>
      </c>
      <c r="H50" s="267" t="e">
        <f t="shared" si="58"/>
        <v>#DIV/0!</v>
      </c>
      <c r="I50" s="267">
        <f>+DATA!O45</f>
        <v>0</v>
      </c>
      <c r="J50" s="267" t="e">
        <f t="shared" si="59"/>
        <v>#DIV/0!</v>
      </c>
      <c r="K50" s="267">
        <f>+DATA!P45</f>
        <v>0</v>
      </c>
      <c r="L50" s="267" t="e">
        <f t="shared" si="60"/>
        <v>#DIV/0!</v>
      </c>
      <c r="M50" s="267">
        <f t="shared" si="75"/>
        <v>0</v>
      </c>
      <c r="N50" s="267" t="e">
        <f t="shared" si="61"/>
        <v>#DIV/0!</v>
      </c>
      <c r="O50" s="267">
        <f t="shared" si="76"/>
        <v>0</v>
      </c>
      <c r="P50" s="267" t="e">
        <f t="shared" si="62"/>
        <v>#DIV/0!</v>
      </c>
      <c r="Q50" s="267">
        <f t="shared" si="77"/>
        <v>0</v>
      </c>
      <c r="R50" s="267" t="e">
        <f t="shared" si="74"/>
        <v>#DIV/0!</v>
      </c>
      <c r="S50" s="241"/>
      <c r="T50" s="241"/>
    </row>
    <row r="51" spans="1:20" s="266" customFormat="1">
      <c r="A51" s="4">
        <v>7</v>
      </c>
      <c r="B51" s="168" t="s">
        <v>200</v>
      </c>
      <c r="C51" s="265">
        <f>+C52+C55</f>
        <v>3249804</v>
      </c>
      <c r="D51" s="265">
        <f t="shared" ref="D51:E51" si="78">+D52+D55</f>
        <v>2435454</v>
      </c>
      <c r="E51" s="265">
        <f t="shared" si="78"/>
        <v>0</v>
      </c>
      <c r="F51" s="265">
        <f t="shared" si="47"/>
        <v>0</v>
      </c>
      <c r="G51" s="265">
        <f>+G52+G55</f>
        <v>4020</v>
      </c>
      <c r="H51" s="265">
        <f t="shared" si="48"/>
        <v>0.16506162711346631</v>
      </c>
      <c r="I51" s="265">
        <f>+I52+I55</f>
        <v>0</v>
      </c>
      <c r="J51" s="265">
        <f t="shared" si="49"/>
        <v>0</v>
      </c>
      <c r="K51" s="265">
        <f>+K52+K55</f>
        <v>1093630.56</v>
      </c>
      <c r="L51" s="265">
        <f t="shared" si="50"/>
        <v>44.904586988709291</v>
      </c>
      <c r="M51" s="265">
        <f>+M52+M55</f>
        <v>1097650.56</v>
      </c>
      <c r="N51" s="265">
        <f t="shared" si="52"/>
        <v>45.069648615822757</v>
      </c>
      <c r="O51" s="265">
        <f t="shared" si="53"/>
        <v>1337803.44</v>
      </c>
      <c r="P51" s="265">
        <f t="shared" si="54"/>
        <v>54.930351384177243</v>
      </c>
      <c r="Q51" s="265">
        <f t="shared" si="55"/>
        <v>2152153.44</v>
      </c>
      <c r="R51" s="265">
        <f t="shared" si="56"/>
        <v>66.224099668780028</v>
      </c>
      <c r="S51" s="241"/>
      <c r="T51" s="241"/>
    </row>
    <row r="52" spans="1:20" s="23" customFormat="1">
      <c r="A52" s="5"/>
      <c r="B52" s="169" t="s">
        <v>87</v>
      </c>
      <c r="C52" s="267">
        <f>+DATA!K64</f>
        <v>2396624</v>
      </c>
      <c r="D52" s="267">
        <f>+DATA!L64</f>
        <v>1819624</v>
      </c>
      <c r="E52" s="267">
        <f>+DATA!M64</f>
        <v>0</v>
      </c>
      <c r="F52" s="267">
        <f t="shared" si="47"/>
        <v>0</v>
      </c>
      <c r="G52" s="267">
        <f>+DATA!N64</f>
        <v>0</v>
      </c>
      <c r="H52" s="267">
        <f t="shared" si="48"/>
        <v>0</v>
      </c>
      <c r="I52" s="267">
        <f>+DATA!O64</f>
        <v>0</v>
      </c>
      <c r="J52" s="267">
        <f t="shared" si="49"/>
        <v>0</v>
      </c>
      <c r="K52" s="267">
        <f>+DATA!P64</f>
        <v>815092.51</v>
      </c>
      <c r="L52" s="267">
        <f t="shared" si="50"/>
        <v>44.794557007381748</v>
      </c>
      <c r="M52" s="267">
        <f t="shared" ref="M52:M57" si="79">+E52+G52+I52+K52</f>
        <v>815092.51</v>
      </c>
      <c r="N52" s="267">
        <f t="shared" si="52"/>
        <v>44.794557007381748</v>
      </c>
      <c r="O52" s="267">
        <f t="shared" si="53"/>
        <v>1004531.49</v>
      </c>
      <c r="P52" s="267">
        <f t="shared" si="54"/>
        <v>55.205442992618252</v>
      </c>
      <c r="Q52" s="267">
        <f t="shared" si="55"/>
        <v>1581531.49</v>
      </c>
      <c r="R52" s="267">
        <f t="shared" si="56"/>
        <v>65.989971309642229</v>
      </c>
      <c r="S52" s="241"/>
      <c r="T52" s="241"/>
    </row>
    <row r="53" spans="1:20" s="23" customFormat="1">
      <c r="A53" s="5"/>
      <c r="B53" s="169" t="s">
        <v>75</v>
      </c>
      <c r="C53" s="267">
        <f>+DATA!K65</f>
        <v>1970124</v>
      </c>
      <c r="D53" s="267">
        <f>+DATA!L65</f>
        <v>1393124</v>
      </c>
      <c r="E53" s="267">
        <f>+DATA!M65</f>
        <v>0</v>
      </c>
      <c r="F53" s="267">
        <f t="shared" si="47"/>
        <v>0</v>
      </c>
      <c r="G53" s="267">
        <f>+DATA!N65</f>
        <v>0</v>
      </c>
      <c r="H53" s="267">
        <f t="shared" si="48"/>
        <v>0</v>
      </c>
      <c r="I53" s="267">
        <f>+DATA!O65</f>
        <v>0</v>
      </c>
      <c r="J53" s="267">
        <f t="shared" si="49"/>
        <v>0</v>
      </c>
      <c r="K53" s="267">
        <f>+DATA!P65</f>
        <v>815092.51</v>
      </c>
      <c r="L53" s="267">
        <f t="shared" si="50"/>
        <v>58.508252675282314</v>
      </c>
      <c r="M53" s="267">
        <f t="shared" si="79"/>
        <v>815092.51</v>
      </c>
      <c r="N53" s="267">
        <f t="shared" si="52"/>
        <v>58.508252675282314</v>
      </c>
      <c r="O53" s="267">
        <f t="shared" si="53"/>
        <v>578031.49</v>
      </c>
      <c r="P53" s="267">
        <f t="shared" si="54"/>
        <v>41.491747324717686</v>
      </c>
      <c r="Q53" s="267">
        <f t="shared" si="55"/>
        <v>1155031.49</v>
      </c>
      <c r="R53" s="267">
        <f t="shared" si="56"/>
        <v>58.627349852090525</v>
      </c>
      <c r="S53" s="241"/>
      <c r="T53" s="241"/>
    </row>
    <row r="54" spans="1:20" s="23" customFormat="1">
      <c r="A54" s="5"/>
      <c r="B54" s="169" t="s">
        <v>76</v>
      </c>
      <c r="C54" s="267">
        <f>+DATA!K66</f>
        <v>426500</v>
      </c>
      <c r="D54" s="267">
        <f>+DATA!L66</f>
        <v>426500</v>
      </c>
      <c r="E54" s="267">
        <f>+DATA!M66</f>
        <v>0</v>
      </c>
      <c r="F54" s="267">
        <f t="shared" si="47"/>
        <v>0</v>
      </c>
      <c r="G54" s="267">
        <f>+DATA!N66</f>
        <v>0</v>
      </c>
      <c r="H54" s="267">
        <f t="shared" si="48"/>
        <v>0</v>
      </c>
      <c r="I54" s="267">
        <f>+DATA!O66</f>
        <v>0</v>
      </c>
      <c r="J54" s="267">
        <f t="shared" si="49"/>
        <v>0</v>
      </c>
      <c r="K54" s="267">
        <f>+DATA!P66</f>
        <v>0</v>
      </c>
      <c r="L54" s="267">
        <f t="shared" si="50"/>
        <v>0</v>
      </c>
      <c r="M54" s="267">
        <f t="shared" si="79"/>
        <v>0</v>
      </c>
      <c r="N54" s="267">
        <f t="shared" si="52"/>
        <v>0</v>
      </c>
      <c r="O54" s="267">
        <f t="shared" si="53"/>
        <v>426500</v>
      </c>
      <c r="P54" s="267">
        <f t="shared" si="54"/>
        <v>100</v>
      </c>
      <c r="Q54" s="267">
        <f t="shared" si="55"/>
        <v>426500</v>
      </c>
      <c r="R54" s="267">
        <f t="shared" si="56"/>
        <v>100</v>
      </c>
      <c r="S54" s="241"/>
      <c r="T54" s="241"/>
    </row>
    <row r="55" spans="1:20" s="23" customFormat="1">
      <c r="A55" s="5"/>
      <c r="B55" s="169" t="s">
        <v>88</v>
      </c>
      <c r="C55" s="267">
        <f>+DATA!K67</f>
        <v>853180</v>
      </c>
      <c r="D55" s="267">
        <f>+DATA!L67</f>
        <v>615830</v>
      </c>
      <c r="E55" s="267">
        <f>+DATA!M67</f>
        <v>0</v>
      </c>
      <c r="F55" s="267">
        <f t="shared" si="47"/>
        <v>0</v>
      </c>
      <c r="G55" s="267">
        <f>+DATA!N67</f>
        <v>4020</v>
      </c>
      <c r="H55" s="267">
        <f t="shared" si="48"/>
        <v>0.65277755224656153</v>
      </c>
      <c r="I55" s="267">
        <f>+DATA!O67</f>
        <v>0</v>
      </c>
      <c r="J55" s="267">
        <f t="shared" si="49"/>
        <v>0</v>
      </c>
      <c r="K55" s="267">
        <f>+DATA!P67</f>
        <v>278538.05000000005</v>
      </c>
      <c r="L55" s="267">
        <f t="shared" si="50"/>
        <v>45.22969813097771</v>
      </c>
      <c r="M55" s="267">
        <f t="shared" si="79"/>
        <v>282558.05000000005</v>
      </c>
      <c r="N55" s="267">
        <f t="shared" si="52"/>
        <v>45.882475683224271</v>
      </c>
      <c r="O55" s="267">
        <f t="shared" si="53"/>
        <v>333271.94999999995</v>
      </c>
      <c r="P55" s="267">
        <f t="shared" si="54"/>
        <v>54.117524316775729</v>
      </c>
      <c r="Q55" s="267">
        <f t="shared" si="55"/>
        <v>570621.94999999995</v>
      </c>
      <c r="R55" s="267">
        <f t="shared" si="56"/>
        <v>66.881777585034797</v>
      </c>
      <c r="S55" s="241"/>
      <c r="T55" s="241"/>
    </row>
    <row r="56" spans="1:20" s="23" customFormat="1">
      <c r="A56" s="5"/>
      <c r="B56" s="169" t="s">
        <v>75</v>
      </c>
      <c r="C56" s="267">
        <f>+DATA!K68</f>
        <v>750180</v>
      </c>
      <c r="D56" s="267">
        <f>+DATA!L68</f>
        <v>512830</v>
      </c>
      <c r="E56" s="267">
        <f>+DATA!M68</f>
        <v>0</v>
      </c>
      <c r="F56" s="267">
        <f t="shared" si="47"/>
        <v>0</v>
      </c>
      <c r="G56" s="267">
        <f>+DATA!N68</f>
        <v>4020</v>
      </c>
      <c r="H56" s="267">
        <f t="shared" si="48"/>
        <v>0.78388549811828478</v>
      </c>
      <c r="I56" s="267">
        <f>+DATA!O68</f>
        <v>0</v>
      </c>
      <c r="J56" s="267">
        <f t="shared" si="49"/>
        <v>0</v>
      </c>
      <c r="K56" s="267">
        <f>+DATA!P68</f>
        <v>278538.05000000005</v>
      </c>
      <c r="L56" s="267">
        <f t="shared" si="50"/>
        <v>54.313914942573568</v>
      </c>
      <c r="M56" s="267">
        <f t="shared" si="79"/>
        <v>282558.05000000005</v>
      </c>
      <c r="N56" s="267">
        <f t="shared" si="52"/>
        <v>55.097800440691856</v>
      </c>
      <c r="O56" s="267">
        <f t="shared" si="53"/>
        <v>230271.94999999995</v>
      </c>
      <c r="P56" s="267">
        <f t="shared" si="54"/>
        <v>44.902199559308144</v>
      </c>
      <c r="Q56" s="267">
        <f t="shared" si="55"/>
        <v>467621.94999999995</v>
      </c>
      <c r="R56" s="267">
        <f t="shared" si="56"/>
        <v>62.334633021408187</v>
      </c>
      <c r="S56" s="241"/>
      <c r="T56" s="241"/>
    </row>
    <row r="57" spans="1:20" s="23" customFormat="1">
      <c r="A57" s="5"/>
      <c r="B57" s="169" t="s">
        <v>76</v>
      </c>
      <c r="C57" s="267">
        <f>+DATA!K69</f>
        <v>103000</v>
      </c>
      <c r="D57" s="267">
        <f>+DATA!L69</f>
        <v>103000</v>
      </c>
      <c r="E57" s="267">
        <f>+DATA!M69</f>
        <v>0</v>
      </c>
      <c r="F57" s="267">
        <f t="shared" si="47"/>
        <v>0</v>
      </c>
      <c r="G57" s="267">
        <f>+DATA!N69</f>
        <v>0</v>
      </c>
      <c r="H57" s="267">
        <f t="shared" si="48"/>
        <v>0</v>
      </c>
      <c r="I57" s="267">
        <f>+DATA!O69</f>
        <v>0</v>
      </c>
      <c r="J57" s="267">
        <f t="shared" si="49"/>
        <v>0</v>
      </c>
      <c r="K57" s="267">
        <f>+DATA!P69</f>
        <v>0</v>
      </c>
      <c r="L57" s="267">
        <f t="shared" si="50"/>
        <v>0</v>
      </c>
      <c r="M57" s="267">
        <f t="shared" si="79"/>
        <v>0</v>
      </c>
      <c r="N57" s="267">
        <f t="shared" si="52"/>
        <v>0</v>
      </c>
      <c r="O57" s="267">
        <f t="shared" si="53"/>
        <v>103000</v>
      </c>
      <c r="P57" s="267">
        <f t="shared" si="54"/>
        <v>100</v>
      </c>
      <c r="Q57" s="267">
        <f t="shared" si="55"/>
        <v>103000</v>
      </c>
      <c r="R57" s="267">
        <f t="shared" si="56"/>
        <v>100</v>
      </c>
      <c r="S57" s="241"/>
      <c r="T57" s="241"/>
    </row>
    <row r="58" spans="1:20" s="266" customFormat="1">
      <c r="A58" s="4">
        <v>8</v>
      </c>
      <c r="B58" s="168" t="s">
        <v>85</v>
      </c>
      <c r="C58" s="265">
        <f>+DATA!K58</f>
        <v>4939780</v>
      </c>
      <c r="D58" s="265">
        <f>+DATA!L58</f>
        <v>2290780</v>
      </c>
      <c r="E58" s="265">
        <f>+DATA!M58</f>
        <v>0</v>
      </c>
      <c r="F58" s="265">
        <f t="shared" ref="F58:F66" si="80">+E58*100/$D58</f>
        <v>0</v>
      </c>
      <c r="G58" s="265">
        <f>+DATA!N58</f>
        <v>21050</v>
      </c>
      <c r="H58" s="265">
        <f t="shared" ref="H58:H66" si="81">+G58*100/$D58</f>
        <v>0.91890098569046352</v>
      </c>
      <c r="I58" s="265">
        <f>+DATA!O58</f>
        <v>9828.3799999999992</v>
      </c>
      <c r="J58" s="265">
        <f t="shared" ref="J58:J66" si="82">+I58*100/$D58</f>
        <v>0.42904076340809677</v>
      </c>
      <c r="K58" s="265">
        <f>+DATA!P58</f>
        <v>980566.38999999978</v>
      </c>
      <c r="L58" s="265">
        <f t="shared" ref="L58:L66" si="83">+K58*100/$D58</f>
        <v>42.804913173678827</v>
      </c>
      <c r="M58" s="265">
        <f t="shared" ref="M58:M66" si="84">+E58+G58+I58+K58</f>
        <v>1011444.7699999998</v>
      </c>
      <c r="N58" s="265">
        <f t="shared" ref="N58:N66" si="85">+M58*100/$D58</f>
        <v>44.152854922777387</v>
      </c>
      <c r="O58" s="265">
        <f t="shared" ref="O58:O66" si="86">+D58-M58</f>
        <v>1279335.2300000002</v>
      </c>
      <c r="P58" s="265">
        <f t="shared" ref="P58:P66" si="87">+O58*100/$D58</f>
        <v>55.847145077222613</v>
      </c>
      <c r="Q58" s="265">
        <f t="shared" ref="Q58:Q66" si="88">+C58-M58</f>
        <v>3928335.2300000004</v>
      </c>
      <c r="R58" s="265">
        <f t="shared" ref="R58:R66" si="89">+Q58*100/C58</f>
        <v>79.524497649692918</v>
      </c>
      <c r="S58" s="241"/>
      <c r="T58" s="241"/>
    </row>
    <row r="59" spans="1:20" s="23" customFormat="1" hidden="1">
      <c r="A59" s="5"/>
      <c r="B59" s="169" t="s">
        <v>75</v>
      </c>
      <c r="C59" s="267">
        <f>+DATA!K59</f>
        <v>4939780</v>
      </c>
      <c r="D59" s="267">
        <f>+DATA!L59</f>
        <v>2290780</v>
      </c>
      <c r="E59" s="267">
        <f>+DATA!M59</f>
        <v>0</v>
      </c>
      <c r="F59" s="267">
        <f t="shared" si="80"/>
        <v>0</v>
      </c>
      <c r="G59" s="267">
        <f>+DATA!N59</f>
        <v>21050</v>
      </c>
      <c r="H59" s="267">
        <f t="shared" si="81"/>
        <v>0.91890098569046352</v>
      </c>
      <c r="I59" s="267">
        <f>+DATA!O59</f>
        <v>9828.3799999999992</v>
      </c>
      <c r="J59" s="267">
        <f t="shared" si="82"/>
        <v>0.42904076340809677</v>
      </c>
      <c r="K59" s="267">
        <f>+DATA!P59</f>
        <v>980566.38999999978</v>
      </c>
      <c r="L59" s="267">
        <f t="shared" si="83"/>
        <v>42.804913173678827</v>
      </c>
      <c r="M59" s="267">
        <f t="shared" si="84"/>
        <v>1011444.7699999998</v>
      </c>
      <c r="N59" s="267">
        <f t="shared" si="85"/>
        <v>44.152854922777387</v>
      </c>
      <c r="O59" s="267">
        <f t="shared" si="86"/>
        <v>1279335.2300000002</v>
      </c>
      <c r="P59" s="267">
        <f t="shared" si="87"/>
        <v>55.847145077222613</v>
      </c>
      <c r="Q59" s="267">
        <f t="shared" si="88"/>
        <v>3928335.2300000004</v>
      </c>
      <c r="R59" s="267">
        <f t="shared" si="89"/>
        <v>79.524497649692918</v>
      </c>
      <c r="S59" s="241"/>
      <c r="T59" s="241"/>
    </row>
    <row r="60" spans="1:20" s="23" customFormat="1" hidden="1">
      <c r="A60" s="5"/>
      <c r="B60" s="169" t="s">
        <v>76</v>
      </c>
      <c r="C60" s="267">
        <f>+DATA!K60</f>
        <v>0</v>
      </c>
      <c r="D60" s="267">
        <f>+DATA!L60</f>
        <v>0</v>
      </c>
      <c r="E60" s="267">
        <f>+DATA!M60</f>
        <v>0</v>
      </c>
      <c r="F60" s="267" t="e">
        <f t="shared" si="80"/>
        <v>#DIV/0!</v>
      </c>
      <c r="G60" s="267">
        <f>+DATA!N60</f>
        <v>0</v>
      </c>
      <c r="H60" s="267" t="e">
        <f t="shared" si="81"/>
        <v>#DIV/0!</v>
      </c>
      <c r="I60" s="267">
        <f>+DATA!O60</f>
        <v>0</v>
      </c>
      <c r="J60" s="267" t="e">
        <f t="shared" si="82"/>
        <v>#DIV/0!</v>
      </c>
      <c r="K60" s="267">
        <f>+DATA!P60</f>
        <v>0</v>
      </c>
      <c r="L60" s="267" t="e">
        <f t="shared" si="83"/>
        <v>#DIV/0!</v>
      </c>
      <c r="M60" s="267">
        <f t="shared" si="84"/>
        <v>0</v>
      </c>
      <c r="N60" s="267" t="e">
        <f t="shared" si="85"/>
        <v>#DIV/0!</v>
      </c>
      <c r="O60" s="267">
        <f t="shared" si="86"/>
        <v>0</v>
      </c>
      <c r="P60" s="267" t="e">
        <f t="shared" si="87"/>
        <v>#DIV/0!</v>
      </c>
      <c r="Q60" s="267">
        <f t="shared" si="88"/>
        <v>0</v>
      </c>
      <c r="R60" s="267" t="e">
        <f t="shared" si="89"/>
        <v>#DIV/0!</v>
      </c>
      <c r="S60" s="241"/>
      <c r="T60" s="241"/>
    </row>
    <row r="61" spans="1:20" s="266" customFormat="1">
      <c r="A61" s="4">
        <v>9</v>
      </c>
      <c r="B61" s="168" t="s">
        <v>92</v>
      </c>
      <c r="C61" s="265">
        <f>+DATA!K79</f>
        <v>4499455</v>
      </c>
      <c r="D61" s="265">
        <f>+DATA!L79</f>
        <v>2199730</v>
      </c>
      <c r="E61" s="265">
        <f>+DATA!M79</f>
        <v>0</v>
      </c>
      <c r="F61" s="265">
        <f t="shared" si="80"/>
        <v>0</v>
      </c>
      <c r="G61" s="265">
        <f>+DATA!N79</f>
        <v>163219</v>
      </c>
      <c r="H61" s="265">
        <f t="shared" si="81"/>
        <v>7.4199560855195861</v>
      </c>
      <c r="I61" s="265">
        <f>+DATA!O79</f>
        <v>30208.240000000002</v>
      </c>
      <c r="J61" s="265">
        <f t="shared" si="82"/>
        <v>1.3732703559073158</v>
      </c>
      <c r="K61" s="265">
        <f>+DATA!P79</f>
        <v>913128</v>
      </c>
      <c r="L61" s="265">
        <f t="shared" si="83"/>
        <v>41.510912702922631</v>
      </c>
      <c r="M61" s="265">
        <f t="shared" si="84"/>
        <v>1106555.24</v>
      </c>
      <c r="N61" s="265">
        <f t="shared" si="85"/>
        <v>50.304139144349534</v>
      </c>
      <c r="O61" s="265">
        <f t="shared" si="86"/>
        <v>1093174.76</v>
      </c>
      <c r="P61" s="265">
        <f t="shared" si="87"/>
        <v>49.695860855650466</v>
      </c>
      <c r="Q61" s="265">
        <f t="shared" si="88"/>
        <v>3392899.76</v>
      </c>
      <c r="R61" s="265">
        <f t="shared" si="89"/>
        <v>75.406905058501536</v>
      </c>
      <c r="S61" s="241"/>
      <c r="T61" s="241"/>
    </row>
    <row r="62" spans="1:20" s="23" customFormat="1" hidden="1">
      <c r="A62" s="5"/>
      <c r="B62" s="169" t="s">
        <v>75</v>
      </c>
      <c r="C62" s="267">
        <f>+DATA!K80</f>
        <v>4499455</v>
      </c>
      <c r="D62" s="267">
        <f>+DATA!L80</f>
        <v>2199730</v>
      </c>
      <c r="E62" s="267">
        <f>+DATA!M80</f>
        <v>0</v>
      </c>
      <c r="F62" s="267">
        <f t="shared" si="80"/>
        <v>0</v>
      </c>
      <c r="G62" s="267">
        <f>+DATA!N80</f>
        <v>163219</v>
      </c>
      <c r="H62" s="267">
        <f t="shared" si="81"/>
        <v>7.4199560855195861</v>
      </c>
      <c r="I62" s="267">
        <f>+DATA!O80</f>
        <v>30208.240000000002</v>
      </c>
      <c r="J62" s="267">
        <f t="shared" si="82"/>
        <v>1.3732703559073158</v>
      </c>
      <c r="K62" s="267">
        <f>+DATA!P80</f>
        <v>913128</v>
      </c>
      <c r="L62" s="267">
        <f t="shared" si="83"/>
        <v>41.510912702922631</v>
      </c>
      <c r="M62" s="267">
        <f t="shared" si="84"/>
        <v>1106555.24</v>
      </c>
      <c r="N62" s="267">
        <f t="shared" si="85"/>
        <v>50.304139144349534</v>
      </c>
      <c r="O62" s="267">
        <f t="shared" si="86"/>
        <v>1093174.76</v>
      </c>
      <c r="P62" s="267">
        <f t="shared" si="87"/>
        <v>49.695860855650466</v>
      </c>
      <c r="Q62" s="267">
        <f t="shared" si="88"/>
        <v>3392899.76</v>
      </c>
      <c r="R62" s="267">
        <f t="shared" si="89"/>
        <v>75.406905058501536</v>
      </c>
      <c r="S62" s="241"/>
      <c r="T62" s="241"/>
    </row>
    <row r="63" spans="1:20" s="23" customFormat="1" hidden="1">
      <c r="A63" s="5"/>
      <c r="B63" s="169" t="s">
        <v>76</v>
      </c>
      <c r="C63" s="267">
        <f>+DATA!K81</f>
        <v>0</v>
      </c>
      <c r="D63" s="267">
        <f>+DATA!L81</f>
        <v>0</v>
      </c>
      <c r="E63" s="267">
        <f>+DATA!M81</f>
        <v>0</v>
      </c>
      <c r="F63" s="267" t="e">
        <f t="shared" si="80"/>
        <v>#DIV/0!</v>
      </c>
      <c r="G63" s="267">
        <f>+DATA!N81</f>
        <v>0</v>
      </c>
      <c r="H63" s="267" t="e">
        <f t="shared" si="81"/>
        <v>#DIV/0!</v>
      </c>
      <c r="I63" s="267">
        <f>+DATA!O81</f>
        <v>0</v>
      </c>
      <c r="J63" s="267" t="e">
        <f t="shared" si="82"/>
        <v>#DIV/0!</v>
      </c>
      <c r="K63" s="267">
        <f>+DATA!P81</f>
        <v>0</v>
      </c>
      <c r="L63" s="267" t="e">
        <f t="shared" si="83"/>
        <v>#DIV/0!</v>
      </c>
      <c r="M63" s="267">
        <f t="shared" si="84"/>
        <v>0</v>
      </c>
      <c r="N63" s="267" t="e">
        <f t="shared" si="85"/>
        <v>#DIV/0!</v>
      </c>
      <c r="O63" s="267">
        <f t="shared" si="86"/>
        <v>0</v>
      </c>
      <c r="P63" s="267" t="e">
        <f t="shared" si="87"/>
        <v>#DIV/0!</v>
      </c>
      <c r="Q63" s="267">
        <f t="shared" si="88"/>
        <v>0</v>
      </c>
      <c r="R63" s="267" t="e">
        <f t="shared" si="89"/>
        <v>#DIV/0!</v>
      </c>
      <c r="S63" s="241"/>
      <c r="T63" s="241"/>
    </row>
    <row r="64" spans="1:20" s="266" customFormat="1">
      <c r="A64" s="4">
        <v>10</v>
      </c>
      <c r="B64" s="168" t="s">
        <v>77</v>
      </c>
      <c r="C64" s="265">
        <f>+DATA!K34</f>
        <v>6228660</v>
      </c>
      <c r="D64" s="265">
        <f>+DATA!L34</f>
        <v>3030210</v>
      </c>
      <c r="E64" s="265">
        <f>+DATA!M34</f>
        <v>0</v>
      </c>
      <c r="F64" s="265">
        <f t="shared" si="80"/>
        <v>0</v>
      </c>
      <c r="G64" s="265">
        <f>+DATA!N34</f>
        <v>3885</v>
      </c>
      <c r="H64" s="265">
        <f t="shared" si="81"/>
        <v>0.12820893601433564</v>
      </c>
      <c r="I64" s="265">
        <f>+DATA!O34</f>
        <v>199648</v>
      </c>
      <c r="J64" s="265">
        <f t="shared" si="82"/>
        <v>6.5885862695984763</v>
      </c>
      <c r="K64" s="265">
        <f>+DATA!P34</f>
        <v>1249987.27</v>
      </c>
      <c r="L64" s="265">
        <f t="shared" si="83"/>
        <v>41.25084631098175</v>
      </c>
      <c r="M64" s="265">
        <f t="shared" si="84"/>
        <v>1453520.27</v>
      </c>
      <c r="N64" s="265">
        <f t="shared" si="85"/>
        <v>47.967641516594561</v>
      </c>
      <c r="O64" s="265">
        <f t="shared" si="86"/>
        <v>1576689.73</v>
      </c>
      <c r="P64" s="265">
        <f t="shared" si="87"/>
        <v>52.032358483405439</v>
      </c>
      <c r="Q64" s="265">
        <f t="shared" si="88"/>
        <v>4775139.7300000004</v>
      </c>
      <c r="R64" s="265">
        <f t="shared" si="89"/>
        <v>76.663997232149455</v>
      </c>
      <c r="S64" s="241"/>
      <c r="T64" s="241"/>
    </row>
    <row r="65" spans="1:20" s="23" customFormat="1" hidden="1">
      <c r="A65" s="5"/>
      <c r="B65" s="169" t="s">
        <v>75</v>
      </c>
      <c r="C65" s="267">
        <f>+DATA!K35</f>
        <v>6228660</v>
      </c>
      <c r="D65" s="267">
        <f>+DATA!L35</f>
        <v>3030210</v>
      </c>
      <c r="E65" s="267">
        <f>+DATA!M35</f>
        <v>0</v>
      </c>
      <c r="F65" s="267">
        <f t="shared" si="80"/>
        <v>0</v>
      </c>
      <c r="G65" s="267">
        <f>+DATA!N35</f>
        <v>3885</v>
      </c>
      <c r="H65" s="267">
        <f t="shared" si="81"/>
        <v>0.12820893601433564</v>
      </c>
      <c r="I65" s="267">
        <f>+DATA!O35</f>
        <v>199648</v>
      </c>
      <c r="J65" s="267">
        <f t="shared" si="82"/>
        <v>6.5885862695984763</v>
      </c>
      <c r="K65" s="267">
        <f>+DATA!P35</f>
        <v>1249987.27</v>
      </c>
      <c r="L65" s="267">
        <f t="shared" si="83"/>
        <v>41.25084631098175</v>
      </c>
      <c r="M65" s="267">
        <f t="shared" si="84"/>
        <v>1453520.27</v>
      </c>
      <c r="N65" s="267">
        <f t="shared" si="85"/>
        <v>47.967641516594561</v>
      </c>
      <c r="O65" s="267">
        <f t="shared" si="86"/>
        <v>1576689.73</v>
      </c>
      <c r="P65" s="267">
        <f t="shared" si="87"/>
        <v>52.032358483405439</v>
      </c>
      <c r="Q65" s="267">
        <f t="shared" si="88"/>
        <v>4775139.7300000004</v>
      </c>
      <c r="R65" s="267">
        <f t="shared" si="89"/>
        <v>76.663997232149455</v>
      </c>
      <c r="S65" s="241"/>
      <c r="T65" s="241"/>
    </row>
    <row r="66" spans="1:20" s="23" customFormat="1" hidden="1">
      <c r="A66" s="5"/>
      <c r="B66" s="169" t="s">
        <v>76</v>
      </c>
      <c r="C66" s="267">
        <f>+DATA!K36</f>
        <v>0</v>
      </c>
      <c r="D66" s="267">
        <f>+DATA!L36</f>
        <v>0</v>
      </c>
      <c r="E66" s="267">
        <f>+DATA!M36</f>
        <v>0</v>
      </c>
      <c r="F66" s="267" t="e">
        <f t="shared" si="80"/>
        <v>#DIV/0!</v>
      </c>
      <c r="G66" s="267">
        <f>+DATA!N36</f>
        <v>0</v>
      </c>
      <c r="H66" s="267" t="e">
        <f t="shared" si="81"/>
        <v>#DIV/0!</v>
      </c>
      <c r="I66" s="267">
        <f>+DATA!O36</f>
        <v>0</v>
      </c>
      <c r="J66" s="267" t="e">
        <f t="shared" si="82"/>
        <v>#DIV/0!</v>
      </c>
      <c r="K66" s="267">
        <f>+DATA!P36</f>
        <v>0</v>
      </c>
      <c r="L66" s="267" t="e">
        <f t="shared" si="83"/>
        <v>#DIV/0!</v>
      </c>
      <c r="M66" s="267">
        <f t="shared" si="84"/>
        <v>0</v>
      </c>
      <c r="N66" s="267" t="e">
        <f t="shared" si="85"/>
        <v>#DIV/0!</v>
      </c>
      <c r="O66" s="267">
        <f t="shared" si="86"/>
        <v>0</v>
      </c>
      <c r="P66" s="267" t="e">
        <f t="shared" si="87"/>
        <v>#DIV/0!</v>
      </c>
      <c r="Q66" s="267">
        <f t="shared" si="88"/>
        <v>0</v>
      </c>
      <c r="R66" s="267" t="e">
        <f t="shared" si="89"/>
        <v>#DIV/0!</v>
      </c>
      <c r="S66" s="241"/>
      <c r="T66" s="241"/>
    </row>
    <row r="67" spans="1:20" s="266" customFormat="1">
      <c r="A67" s="4">
        <v>11</v>
      </c>
      <c r="B67" s="168" t="s">
        <v>81</v>
      </c>
      <c r="C67" s="265">
        <f>+DATA!K46</f>
        <v>2955480</v>
      </c>
      <c r="D67" s="265">
        <f>+DATA!L46</f>
        <v>1952780</v>
      </c>
      <c r="E67" s="265">
        <f>+DATA!M46</f>
        <v>0</v>
      </c>
      <c r="F67" s="265">
        <f t="shared" si="47"/>
        <v>0</v>
      </c>
      <c r="G67" s="265">
        <f>+DATA!N46</f>
        <v>47340</v>
      </c>
      <c r="H67" s="265">
        <f t="shared" si="48"/>
        <v>2.4242362170853862</v>
      </c>
      <c r="I67" s="265">
        <f>+DATA!O46</f>
        <v>32027.05</v>
      </c>
      <c r="J67" s="265">
        <f t="shared" si="49"/>
        <v>1.6400746627884351</v>
      </c>
      <c r="K67" s="265">
        <f>+DATA!P46</f>
        <v>753880</v>
      </c>
      <c r="L67" s="265">
        <f t="shared" si="50"/>
        <v>38.605475271151896</v>
      </c>
      <c r="M67" s="265">
        <f t="shared" ref="M67:M75" si="90">+E67+G67+I67+K67</f>
        <v>833247.05</v>
      </c>
      <c r="N67" s="265">
        <f t="shared" si="52"/>
        <v>42.669786151025718</v>
      </c>
      <c r="O67" s="265">
        <f t="shared" ref="O67:O75" si="91">+D67-M67</f>
        <v>1119532.95</v>
      </c>
      <c r="P67" s="265">
        <f t="shared" si="54"/>
        <v>57.330213848974282</v>
      </c>
      <c r="Q67" s="265">
        <f t="shared" ref="Q67:Q75" si="92">+C67-M67</f>
        <v>2122232.9500000002</v>
      </c>
      <c r="R67" s="265">
        <f t="shared" ref="R67:R75" si="93">+Q67*100/C67</f>
        <v>71.806709908373605</v>
      </c>
      <c r="S67" s="241"/>
      <c r="T67" s="241"/>
    </row>
    <row r="68" spans="1:20" s="23" customFormat="1">
      <c r="A68" s="5"/>
      <c r="B68" s="169" t="s">
        <v>75</v>
      </c>
      <c r="C68" s="267">
        <f>+DATA!K47</f>
        <v>2572980</v>
      </c>
      <c r="D68" s="267">
        <f>+DATA!L47</f>
        <v>1570280</v>
      </c>
      <c r="E68" s="267">
        <f>+DATA!M47</f>
        <v>0</v>
      </c>
      <c r="F68" s="267">
        <f t="shared" si="47"/>
        <v>0</v>
      </c>
      <c r="G68" s="267">
        <f>+DATA!N47</f>
        <v>47340</v>
      </c>
      <c r="H68" s="267">
        <f t="shared" si="48"/>
        <v>3.0147489619685661</v>
      </c>
      <c r="I68" s="267">
        <f>+DATA!O47</f>
        <v>32027.05</v>
      </c>
      <c r="J68" s="267">
        <f t="shared" si="49"/>
        <v>2.0395757444532183</v>
      </c>
      <c r="K68" s="267">
        <f>+DATA!P47</f>
        <v>753880</v>
      </c>
      <c r="L68" s="267">
        <f t="shared" si="50"/>
        <v>48.009272231703903</v>
      </c>
      <c r="M68" s="267">
        <f t="shared" si="90"/>
        <v>833247.05</v>
      </c>
      <c r="N68" s="267">
        <f t="shared" si="52"/>
        <v>53.063596938125684</v>
      </c>
      <c r="O68" s="267">
        <f t="shared" si="91"/>
        <v>737032.95</v>
      </c>
      <c r="P68" s="267">
        <f t="shared" si="54"/>
        <v>46.936403061874316</v>
      </c>
      <c r="Q68" s="267">
        <f t="shared" si="92"/>
        <v>1739732.95</v>
      </c>
      <c r="R68" s="267">
        <f t="shared" si="93"/>
        <v>67.615486711906044</v>
      </c>
      <c r="S68" s="241"/>
      <c r="T68" s="241"/>
    </row>
    <row r="69" spans="1:20" s="23" customFormat="1">
      <c r="A69" s="5"/>
      <c r="B69" s="169" t="s">
        <v>76</v>
      </c>
      <c r="C69" s="267">
        <f>+DATA!K48</f>
        <v>382500</v>
      </c>
      <c r="D69" s="267">
        <f>+DATA!L48</f>
        <v>382500</v>
      </c>
      <c r="E69" s="267">
        <f>+DATA!M48</f>
        <v>0</v>
      </c>
      <c r="F69" s="267">
        <f t="shared" si="47"/>
        <v>0</v>
      </c>
      <c r="G69" s="267">
        <f>+DATA!N48</f>
        <v>0</v>
      </c>
      <c r="H69" s="267">
        <f t="shared" si="48"/>
        <v>0</v>
      </c>
      <c r="I69" s="267">
        <f>+DATA!O48</f>
        <v>0</v>
      </c>
      <c r="J69" s="267">
        <f t="shared" si="49"/>
        <v>0</v>
      </c>
      <c r="K69" s="267">
        <f>+DATA!P48</f>
        <v>0</v>
      </c>
      <c r="L69" s="267">
        <f t="shared" si="50"/>
        <v>0</v>
      </c>
      <c r="M69" s="267">
        <f t="shared" si="90"/>
        <v>0</v>
      </c>
      <c r="N69" s="267">
        <f t="shared" si="52"/>
        <v>0</v>
      </c>
      <c r="O69" s="267">
        <f t="shared" si="91"/>
        <v>382500</v>
      </c>
      <c r="P69" s="267">
        <f t="shared" si="54"/>
        <v>100</v>
      </c>
      <c r="Q69" s="267">
        <f t="shared" si="92"/>
        <v>382500</v>
      </c>
      <c r="R69" s="267">
        <f t="shared" si="93"/>
        <v>100</v>
      </c>
      <c r="S69" s="241"/>
      <c r="T69" s="241"/>
    </row>
    <row r="70" spans="1:20" s="266" customFormat="1">
      <c r="A70" s="4">
        <v>12</v>
      </c>
      <c r="B70" s="168" t="s">
        <v>83</v>
      </c>
      <c r="C70" s="265">
        <f>+DATA!K52</f>
        <v>2250460</v>
      </c>
      <c r="D70" s="265">
        <f>+DATA!L52</f>
        <v>1267710</v>
      </c>
      <c r="E70" s="265">
        <f>+DATA!M52</f>
        <v>0</v>
      </c>
      <c r="F70" s="265">
        <f>+E70*100/$D70</f>
        <v>0</v>
      </c>
      <c r="G70" s="265">
        <f>+DATA!N52</f>
        <v>1787</v>
      </c>
      <c r="H70" s="265">
        <f>+G70*100/$D70</f>
        <v>0.14096283850407429</v>
      </c>
      <c r="I70" s="265">
        <f>+DATA!O52</f>
        <v>0</v>
      </c>
      <c r="J70" s="265">
        <f>+I70*100/$D70</f>
        <v>0</v>
      </c>
      <c r="K70" s="265">
        <f>+DATA!P52</f>
        <v>484585.64</v>
      </c>
      <c r="L70" s="265">
        <f>+K70*100/$D70</f>
        <v>38.225275496761874</v>
      </c>
      <c r="M70" s="265">
        <f>+E70+G70+I70+K70</f>
        <v>486372.64</v>
      </c>
      <c r="N70" s="265">
        <f>+M70*100/$D70</f>
        <v>38.366238335265955</v>
      </c>
      <c r="O70" s="265">
        <f>+D70-M70</f>
        <v>781337.36</v>
      </c>
      <c r="P70" s="265">
        <f>+O70*100/$D70</f>
        <v>61.633761664734045</v>
      </c>
      <c r="Q70" s="265">
        <f>+C70-M70</f>
        <v>1764087.3599999999</v>
      </c>
      <c r="R70" s="265">
        <f>+Q70*100/C70</f>
        <v>78.387856704851458</v>
      </c>
      <c r="S70" s="241"/>
      <c r="T70" s="241"/>
    </row>
    <row r="71" spans="1:20" s="23" customFormat="1" hidden="1">
      <c r="A71" s="5"/>
      <c r="B71" s="169" t="s">
        <v>75</v>
      </c>
      <c r="C71" s="267">
        <f>+DATA!K53</f>
        <v>2250460</v>
      </c>
      <c r="D71" s="267">
        <f>+DATA!L53</f>
        <v>1267710</v>
      </c>
      <c r="E71" s="267">
        <f>+DATA!M53</f>
        <v>0</v>
      </c>
      <c r="F71" s="267">
        <f>+E71*100/$D71</f>
        <v>0</v>
      </c>
      <c r="G71" s="267">
        <f>+DATA!N53</f>
        <v>1787</v>
      </c>
      <c r="H71" s="267">
        <f>+G71*100/$D71</f>
        <v>0.14096283850407429</v>
      </c>
      <c r="I71" s="267">
        <f>+DATA!O53</f>
        <v>0</v>
      </c>
      <c r="J71" s="267">
        <f>+I71*100/$D71</f>
        <v>0</v>
      </c>
      <c r="K71" s="267">
        <f>+DATA!P53</f>
        <v>484585.64</v>
      </c>
      <c r="L71" s="267">
        <f>+K71*100/$D71</f>
        <v>38.225275496761874</v>
      </c>
      <c r="M71" s="267">
        <f>+E71+G71+I71+K71</f>
        <v>486372.64</v>
      </c>
      <c r="N71" s="267">
        <f>+M71*100/$D71</f>
        <v>38.366238335265955</v>
      </c>
      <c r="O71" s="267">
        <f>+D71-M71</f>
        <v>781337.36</v>
      </c>
      <c r="P71" s="267">
        <f>+O71*100/$D71</f>
        <v>61.633761664734045</v>
      </c>
      <c r="Q71" s="267">
        <f>+C71-M71</f>
        <v>1764087.3599999999</v>
      </c>
      <c r="R71" s="267">
        <f>+Q71*100/C71</f>
        <v>78.387856704851458</v>
      </c>
      <c r="S71" s="241"/>
      <c r="T71" s="241"/>
    </row>
    <row r="72" spans="1:20" s="23" customFormat="1" hidden="1">
      <c r="A72" s="5"/>
      <c r="B72" s="169" t="s">
        <v>76</v>
      </c>
      <c r="C72" s="267">
        <f>+DATA!K54</f>
        <v>0</v>
      </c>
      <c r="D72" s="267">
        <f>+DATA!L54</f>
        <v>0</v>
      </c>
      <c r="E72" s="267">
        <f>+DATA!M54</f>
        <v>0</v>
      </c>
      <c r="F72" s="267" t="e">
        <f>+E72*100/$D72</f>
        <v>#DIV/0!</v>
      </c>
      <c r="G72" s="267">
        <f>+DATA!N54</f>
        <v>0</v>
      </c>
      <c r="H72" s="267" t="e">
        <f>+G72*100/$D72</f>
        <v>#DIV/0!</v>
      </c>
      <c r="I72" s="267">
        <f>+DATA!O54</f>
        <v>0</v>
      </c>
      <c r="J72" s="267" t="e">
        <f>+I72*100/$D72</f>
        <v>#DIV/0!</v>
      </c>
      <c r="K72" s="267">
        <f>+DATA!P54</f>
        <v>0</v>
      </c>
      <c r="L72" s="267" t="e">
        <f>+K72*100/$D72</f>
        <v>#DIV/0!</v>
      </c>
      <c r="M72" s="267">
        <f>+E72+G72+I72+K72</f>
        <v>0</v>
      </c>
      <c r="N72" s="267" t="e">
        <f>+M72*100/$D72</f>
        <v>#DIV/0!</v>
      </c>
      <c r="O72" s="267">
        <f>+D72-M72</f>
        <v>0</v>
      </c>
      <c r="P72" s="267" t="e">
        <f>+O72*100/$D72</f>
        <v>#DIV/0!</v>
      </c>
      <c r="Q72" s="267">
        <f>+C72-M72</f>
        <v>0</v>
      </c>
      <c r="R72" s="267" t="e">
        <f>+Q72*100/C72</f>
        <v>#DIV/0!</v>
      </c>
      <c r="S72" s="241"/>
      <c r="T72" s="241"/>
    </row>
    <row r="73" spans="1:20" s="266" customFormat="1">
      <c r="A73" s="4">
        <v>13</v>
      </c>
      <c r="B73" s="168" t="s">
        <v>82</v>
      </c>
      <c r="C73" s="265">
        <f>+DATA!K49</f>
        <v>8212570</v>
      </c>
      <c r="D73" s="265">
        <f>+DATA!L49</f>
        <v>4771320</v>
      </c>
      <c r="E73" s="265">
        <f>+DATA!M49</f>
        <v>0</v>
      </c>
      <c r="F73" s="265">
        <f t="shared" si="47"/>
        <v>0</v>
      </c>
      <c r="G73" s="265">
        <f>+DATA!N49</f>
        <v>9710</v>
      </c>
      <c r="H73" s="265">
        <f t="shared" si="48"/>
        <v>0.20350762472439493</v>
      </c>
      <c r="I73" s="265">
        <f>+DATA!O49</f>
        <v>242366.34</v>
      </c>
      <c r="J73" s="265">
        <f t="shared" si="49"/>
        <v>5.0796496566987752</v>
      </c>
      <c r="K73" s="265">
        <f>+DATA!P49</f>
        <v>1795551.48</v>
      </c>
      <c r="L73" s="265">
        <f t="shared" si="50"/>
        <v>37.632174744095977</v>
      </c>
      <c r="M73" s="265">
        <f t="shared" si="90"/>
        <v>2047627.82</v>
      </c>
      <c r="N73" s="265">
        <f t="shared" si="52"/>
        <v>42.915332025519142</v>
      </c>
      <c r="O73" s="265">
        <f t="shared" si="91"/>
        <v>2723692.1799999997</v>
      </c>
      <c r="P73" s="265">
        <f t="shared" si="54"/>
        <v>57.084667974480858</v>
      </c>
      <c r="Q73" s="265">
        <f t="shared" si="92"/>
        <v>6164942.1799999997</v>
      </c>
      <c r="R73" s="265">
        <f t="shared" si="93"/>
        <v>75.067149260219395</v>
      </c>
      <c r="S73" s="241"/>
      <c r="T73" s="241"/>
    </row>
    <row r="74" spans="1:20" s="23" customFormat="1" hidden="1">
      <c r="A74" s="5"/>
      <c r="B74" s="169" t="s">
        <v>75</v>
      </c>
      <c r="C74" s="267">
        <f>+DATA!K50</f>
        <v>8212570</v>
      </c>
      <c r="D74" s="267">
        <f>+DATA!L50</f>
        <v>4771320</v>
      </c>
      <c r="E74" s="267">
        <f>+DATA!M50</f>
        <v>0</v>
      </c>
      <c r="F74" s="267">
        <f t="shared" si="47"/>
        <v>0</v>
      </c>
      <c r="G74" s="267">
        <f>+DATA!N50</f>
        <v>9710</v>
      </c>
      <c r="H74" s="267">
        <f t="shared" si="48"/>
        <v>0.20350762472439493</v>
      </c>
      <c r="I74" s="267">
        <f>+DATA!O50</f>
        <v>242366.34</v>
      </c>
      <c r="J74" s="267">
        <f t="shared" si="49"/>
        <v>5.0796496566987752</v>
      </c>
      <c r="K74" s="267">
        <f>+DATA!P50</f>
        <v>1795551.48</v>
      </c>
      <c r="L74" s="267">
        <f t="shared" si="50"/>
        <v>37.632174744095977</v>
      </c>
      <c r="M74" s="267">
        <f t="shared" si="90"/>
        <v>2047627.82</v>
      </c>
      <c r="N74" s="267">
        <f t="shared" si="52"/>
        <v>42.915332025519142</v>
      </c>
      <c r="O74" s="267">
        <f t="shared" si="91"/>
        <v>2723692.1799999997</v>
      </c>
      <c r="P74" s="267">
        <f t="shared" si="54"/>
        <v>57.084667974480858</v>
      </c>
      <c r="Q74" s="267">
        <f t="shared" si="92"/>
        <v>6164942.1799999997</v>
      </c>
      <c r="R74" s="267">
        <f t="shared" si="93"/>
        <v>75.067149260219395</v>
      </c>
      <c r="S74" s="241"/>
      <c r="T74" s="241"/>
    </row>
    <row r="75" spans="1:20" s="23" customFormat="1" hidden="1">
      <c r="A75" s="5"/>
      <c r="B75" s="169" t="s">
        <v>76</v>
      </c>
      <c r="C75" s="267">
        <f>+DATA!K51</f>
        <v>0</v>
      </c>
      <c r="D75" s="267">
        <f>+DATA!L51</f>
        <v>0</v>
      </c>
      <c r="E75" s="267">
        <f>+DATA!M51</f>
        <v>0</v>
      </c>
      <c r="F75" s="267" t="e">
        <f t="shared" si="47"/>
        <v>#DIV/0!</v>
      </c>
      <c r="G75" s="267">
        <f>+DATA!N51</f>
        <v>0</v>
      </c>
      <c r="H75" s="267" t="e">
        <f t="shared" si="48"/>
        <v>#DIV/0!</v>
      </c>
      <c r="I75" s="267">
        <f>+DATA!O51</f>
        <v>0</v>
      </c>
      <c r="J75" s="267" t="e">
        <f t="shared" si="49"/>
        <v>#DIV/0!</v>
      </c>
      <c r="K75" s="267">
        <f>+DATA!P51</f>
        <v>0</v>
      </c>
      <c r="L75" s="267" t="e">
        <f t="shared" si="50"/>
        <v>#DIV/0!</v>
      </c>
      <c r="M75" s="267">
        <f t="shared" si="90"/>
        <v>0</v>
      </c>
      <c r="N75" s="267" t="e">
        <f t="shared" si="52"/>
        <v>#DIV/0!</v>
      </c>
      <c r="O75" s="267">
        <f t="shared" si="91"/>
        <v>0</v>
      </c>
      <c r="P75" s="267" t="e">
        <f t="shared" si="54"/>
        <v>#DIV/0!</v>
      </c>
      <c r="Q75" s="267">
        <f t="shared" si="92"/>
        <v>0</v>
      </c>
      <c r="R75" s="267" t="e">
        <f t="shared" si="93"/>
        <v>#DIV/0!</v>
      </c>
      <c r="S75" s="241"/>
      <c r="T75" s="241"/>
    </row>
    <row r="76" spans="1:20" s="266" customFormat="1">
      <c r="A76" s="4">
        <v>14</v>
      </c>
      <c r="B76" s="168" t="s">
        <v>57</v>
      </c>
      <c r="C76" s="265">
        <f>+DATA!K28</f>
        <v>153630</v>
      </c>
      <c r="D76" s="265">
        <f>+DATA!L28</f>
        <v>76815</v>
      </c>
      <c r="E76" s="265">
        <f>+DATA!M28</f>
        <v>28700</v>
      </c>
      <c r="F76" s="265">
        <f t="shared" ref="F76:F87" si="94">+E76*100/$D76</f>
        <v>37.362494304497822</v>
      </c>
      <c r="G76" s="265">
        <f>+DATA!N28</f>
        <v>0</v>
      </c>
      <c r="H76" s="265">
        <f t="shared" ref="H76:H87" si="95">+G76*100/$D76</f>
        <v>0</v>
      </c>
      <c r="I76" s="265">
        <f>+DATA!O28</f>
        <v>0</v>
      </c>
      <c r="J76" s="265">
        <f t="shared" ref="J76:J87" si="96">+I76*100/$D76</f>
        <v>0</v>
      </c>
      <c r="K76" s="265">
        <f>+DATA!P28</f>
        <v>26966.58</v>
      </c>
      <c r="L76" s="265">
        <f t="shared" ref="L76:L87" si="97">+K76*100/$D76</f>
        <v>35.105877758250344</v>
      </c>
      <c r="M76" s="265">
        <f t="shared" ref="M76:M81" si="98">+E76+G76+I76+K76</f>
        <v>55666.58</v>
      </c>
      <c r="N76" s="265">
        <f t="shared" ref="N76:N87" si="99">+M76*100/$D76</f>
        <v>72.468372062748159</v>
      </c>
      <c r="O76" s="265">
        <f t="shared" ref="O76:O81" si="100">+D76-M76</f>
        <v>21148.42</v>
      </c>
      <c r="P76" s="265">
        <f t="shared" ref="P76:P87" si="101">+O76*100/$D76</f>
        <v>27.531627937251837</v>
      </c>
      <c r="Q76" s="265">
        <f t="shared" ref="Q76:Q81" si="102">+C76-M76</f>
        <v>97963.42</v>
      </c>
      <c r="R76" s="265">
        <f t="shared" ref="R76:R87" si="103">+Q76*100/C76</f>
        <v>63.76581396862592</v>
      </c>
      <c r="S76" s="241"/>
      <c r="T76" s="241"/>
    </row>
    <row r="77" spans="1:20" hidden="1">
      <c r="A77" s="263"/>
      <c r="B77" s="51" t="s">
        <v>75</v>
      </c>
      <c r="C77" s="221">
        <f>+DATA!K29</f>
        <v>153630</v>
      </c>
      <c r="D77" s="221">
        <f>+DATA!L29</f>
        <v>76815</v>
      </c>
      <c r="E77" s="221">
        <f>+DATA!M29</f>
        <v>28700</v>
      </c>
      <c r="F77" s="221">
        <f t="shared" si="94"/>
        <v>37.362494304497822</v>
      </c>
      <c r="G77" s="221">
        <f>+DATA!N29</f>
        <v>0</v>
      </c>
      <c r="H77" s="221">
        <f t="shared" si="95"/>
        <v>0</v>
      </c>
      <c r="I77" s="221">
        <f>+DATA!O29</f>
        <v>0</v>
      </c>
      <c r="J77" s="221">
        <f t="shared" si="96"/>
        <v>0</v>
      </c>
      <c r="K77" s="221">
        <f>+DATA!P29</f>
        <v>26966.58</v>
      </c>
      <c r="L77" s="267">
        <f t="shared" si="97"/>
        <v>35.105877758250344</v>
      </c>
      <c r="M77" s="221">
        <f t="shared" si="98"/>
        <v>55666.58</v>
      </c>
      <c r="N77" s="221">
        <f t="shared" si="99"/>
        <v>72.468372062748159</v>
      </c>
      <c r="O77" s="221">
        <f t="shared" si="100"/>
        <v>21148.42</v>
      </c>
      <c r="P77" s="221">
        <f t="shared" si="101"/>
        <v>27.531627937251837</v>
      </c>
      <c r="Q77" s="221">
        <f t="shared" si="102"/>
        <v>97963.42</v>
      </c>
      <c r="R77" s="221">
        <f t="shared" si="103"/>
        <v>63.76581396862592</v>
      </c>
      <c r="S77" s="241"/>
      <c r="T77" s="241"/>
    </row>
    <row r="78" spans="1:20" hidden="1">
      <c r="A78" s="263"/>
      <c r="B78" s="51" t="s">
        <v>76</v>
      </c>
      <c r="C78" s="221">
        <f>+DATA!K30</f>
        <v>0</v>
      </c>
      <c r="D78" s="221">
        <f>+DATA!L30</f>
        <v>0</v>
      </c>
      <c r="E78" s="221">
        <f>+DATA!M30</f>
        <v>0</v>
      </c>
      <c r="F78" s="221" t="e">
        <f t="shared" si="94"/>
        <v>#DIV/0!</v>
      </c>
      <c r="G78" s="221">
        <f>+DATA!N30</f>
        <v>0</v>
      </c>
      <c r="H78" s="221" t="e">
        <f t="shared" si="95"/>
        <v>#DIV/0!</v>
      </c>
      <c r="I78" s="221">
        <f>+DATA!O30</f>
        <v>0</v>
      </c>
      <c r="J78" s="221" t="e">
        <f t="shared" si="96"/>
        <v>#DIV/0!</v>
      </c>
      <c r="K78" s="221">
        <f>+DATA!P30</f>
        <v>0</v>
      </c>
      <c r="L78" s="267" t="e">
        <f t="shared" si="97"/>
        <v>#DIV/0!</v>
      </c>
      <c r="M78" s="221">
        <f t="shared" si="98"/>
        <v>0</v>
      </c>
      <c r="N78" s="221" t="e">
        <f t="shared" si="99"/>
        <v>#DIV/0!</v>
      </c>
      <c r="O78" s="221">
        <f t="shared" si="100"/>
        <v>0</v>
      </c>
      <c r="P78" s="221" t="e">
        <f t="shared" si="101"/>
        <v>#DIV/0!</v>
      </c>
      <c r="Q78" s="221">
        <f t="shared" si="102"/>
        <v>0</v>
      </c>
      <c r="R78" s="221" t="e">
        <f t="shared" si="103"/>
        <v>#DIV/0!</v>
      </c>
      <c r="S78" s="241"/>
      <c r="T78" s="241"/>
    </row>
    <row r="79" spans="1:20" s="266" customFormat="1">
      <c r="A79" s="4">
        <v>15</v>
      </c>
      <c r="B79" s="168" t="s">
        <v>91</v>
      </c>
      <c r="C79" s="265">
        <f>+DATA!K76</f>
        <v>7569850</v>
      </c>
      <c r="D79" s="265">
        <f>+DATA!L76</f>
        <v>4106700</v>
      </c>
      <c r="E79" s="265">
        <f>+DATA!M76</f>
        <v>0</v>
      </c>
      <c r="F79" s="265">
        <f t="shared" si="94"/>
        <v>0</v>
      </c>
      <c r="G79" s="265">
        <f>+DATA!N76</f>
        <v>0</v>
      </c>
      <c r="H79" s="265">
        <f t="shared" si="95"/>
        <v>0</v>
      </c>
      <c r="I79" s="265">
        <f>+DATA!O76</f>
        <v>1400</v>
      </c>
      <c r="J79" s="265">
        <f t="shared" si="96"/>
        <v>3.4090632381230675E-2</v>
      </c>
      <c r="K79" s="265">
        <f>+DATA!P76</f>
        <v>1308651.97</v>
      </c>
      <c r="L79" s="265">
        <f t="shared" si="97"/>
        <v>31.866266588745223</v>
      </c>
      <c r="M79" s="265">
        <f t="shared" si="98"/>
        <v>1310051.97</v>
      </c>
      <c r="N79" s="265">
        <f t="shared" si="99"/>
        <v>31.900357221126452</v>
      </c>
      <c r="O79" s="265">
        <f t="shared" si="100"/>
        <v>2796648.0300000003</v>
      </c>
      <c r="P79" s="265">
        <f t="shared" si="101"/>
        <v>68.099642778873545</v>
      </c>
      <c r="Q79" s="265">
        <f t="shared" si="102"/>
        <v>6259798.0300000003</v>
      </c>
      <c r="R79" s="265">
        <f t="shared" si="103"/>
        <v>82.693818635772175</v>
      </c>
      <c r="S79" s="241"/>
      <c r="T79" s="241"/>
    </row>
    <row r="80" spans="1:20" s="23" customFormat="1" hidden="1">
      <c r="A80" s="5"/>
      <c r="B80" s="169" t="s">
        <v>75</v>
      </c>
      <c r="C80" s="267">
        <f>+DATA!K77</f>
        <v>7569850</v>
      </c>
      <c r="D80" s="267">
        <f>+DATA!L77</f>
        <v>4106700</v>
      </c>
      <c r="E80" s="267">
        <f>+DATA!M77</f>
        <v>0</v>
      </c>
      <c r="F80" s="267">
        <f t="shared" si="94"/>
        <v>0</v>
      </c>
      <c r="G80" s="267">
        <f>+DATA!N77</f>
        <v>0</v>
      </c>
      <c r="H80" s="267">
        <f t="shared" si="95"/>
        <v>0</v>
      </c>
      <c r="I80" s="267">
        <f>+DATA!O77</f>
        <v>1400</v>
      </c>
      <c r="J80" s="267">
        <f t="shared" si="96"/>
        <v>3.4090632381230675E-2</v>
      </c>
      <c r="K80" s="267">
        <f>+DATA!P77</f>
        <v>1308651.97</v>
      </c>
      <c r="L80" s="267">
        <f t="shared" si="97"/>
        <v>31.866266588745223</v>
      </c>
      <c r="M80" s="267">
        <f t="shared" si="98"/>
        <v>1310051.97</v>
      </c>
      <c r="N80" s="267">
        <f t="shared" si="99"/>
        <v>31.900357221126452</v>
      </c>
      <c r="O80" s="267">
        <f t="shared" si="100"/>
        <v>2796648.0300000003</v>
      </c>
      <c r="P80" s="267">
        <f t="shared" si="101"/>
        <v>68.099642778873545</v>
      </c>
      <c r="Q80" s="267">
        <f t="shared" si="102"/>
        <v>6259798.0300000003</v>
      </c>
      <c r="R80" s="267">
        <f t="shared" si="103"/>
        <v>82.693818635772175</v>
      </c>
      <c r="S80" s="241"/>
      <c r="T80" s="241"/>
    </row>
    <row r="81" spans="1:20" s="23" customFormat="1" hidden="1">
      <c r="A81" s="5"/>
      <c r="B81" s="169" t="s">
        <v>76</v>
      </c>
      <c r="C81" s="267">
        <f>+DATA!K78</f>
        <v>0</v>
      </c>
      <c r="D81" s="267">
        <f>+DATA!L78</f>
        <v>0</v>
      </c>
      <c r="E81" s="267">
        <f>+DATA!M78</f>
        <v>0</v>
      </c>
      <c r="F81" s="267" t="e">
        <f t="shared" si="94"/>
        <v>#DIV/0!</v>
      </c>
      <c r="G81" s="267">
        <f>+DATA!N78</f>
        <v>0</v>
      </c>
      <c r="H81" s="267" t="e">
        <f t="shared" si="95"/>
        <v>#DIV/0!</v>
      </c>
      <c r="I81" s="267">
        <f>+DATA!O78</f>
        <v>0</v>
      </c>
      <c r="J81" s="267" t="e">
        <f t="shared" si="96"/>
        <v>#DIV/0!</v>
      </c>
      <c r="K81" s="267">
        <f>+DATA!P78</f>
        <v>0</v>
      </c>
      <c r="L81" s="267" t="e">
        <f t="shared" si="97"/>
        <v>#DIV/0!</v>
      </c>
      <c r="M81" s="267">
        <f t="shared" si="98"/>
        <v>0</v>
      </c>
      <c r="N81" s="267" t="e">
        <f t="shared" si="99"/>
        <v>#DIV/0!</v>
      </c>
      <c r="O81" s="267">
        <f t="shared" si="100"/>
        <v>0</v>
      </c>
      <c r="P81" s="267" t="e">
        <f t="shared" si="101"/>
        <v>#DIV/0!</v>
      </c>
      <c r="Q81" s="267">
        <f t="shared" si="102"/>
        <v>0</v>
      </c>
      <c r="R81" s="267" t="e">
        <f t="shared" si="103"/>
        <v>#DIV/0!</v>
      </c>
      <c r="S81" s="241"/>
      <c r="T81" s="241"/>
    </row>
    <row r="82" spans="1:20" s="266" customFormat="1">
      <c r="A82" s="4">
        <v>16</v>
      </c>
      <c r="B82" s="168" t="s">
        <v>78</v>
      </c>
      <c r="C82" s="265">
        <f>+DATA!K37</f>
        <v>17257445</v>
      </c>
      <c r="D82" s="265">
        <f>+DATA!L37</f>
        <v>8749665</v>
      </c>
      <c r="E82" s="265">
        <f>+DATA!M37</f>
        <v>0</v>
      </c>
      <c r="F82" s="265">
        <f t="shared" si="94"/>
        <v>0</v>
      </c>
      <c r="G82" s="265">
        <f>+DATA!N37</f>
        <v>65065</v>
      </c>
      <c r="H82" s="265">
        <f t="shared" si="95"/>
        <v>0.74362847034715041</v>
      </c>
      <c r="I82" s="265">
        <f>+DATA!O37</f>
        <v>51386.29</v>
      </c>
      <c r="J82" s="265">
        <f t="shared" si="96"/>
        <v>0.58729437069876389</v>
      </c>
      <c r="K82" s="265">
        <f>+DATA!P37</f>
        <v>1783685.07</v>
      </c>
      <c r="L82" s="265">
        <f t="shared" si="97"/>
        <v>20.385752711675249</v>
      </c>
      <c r="M82" s="265">
        <f t="shared" ref="M82:M84" si="104">+E82+G82+I82+K82</f>
        <v>1900136.36</v>
      </c>
      <c r="N82" s="265">
        <f t="shared" si="99"/>
        <v>21.71667555272116</v>
      </c>
      <c r="O82" s="265">
        <f t="shared" ref="O82:O84" si="105">+D82-M82</f>
        <v>6849528.6399999997</v>
      </c>
      <c r="P82" s="265">
        <f t="shared" si="101"/>
        <v>78.283324447278844</v>
      </c>
      <c r="Q82" s="265">
        <f t="shared" ref="Q82:Q84" si="106">+C82-M82</f>
        <v>15357308.640000001</v>
      </c>
      <c r="R82" s="265">
        <f t="shared" si="103"/>
        <v>88.989468835044818</v>
      </c>
      <c r="S82" s="241"/>
      <c r="T82" s="241"/>
    </row>
    <row r="83" spans="1:20" s="23" customFormat="1" hidden="1">
      <c r="A83" s="5"/>
      <c r="B83" s="169" t="s">
        <v>75</v>
      </c>
      <c r="C83" s="267">
        <f>+DATA!K38</f>
        <v>17257445</v>
      </c>
      <c r="D83" s="267">
        <f>+DATA!L38</f>
        <v>8749665</v>
      </c>
      <c r="E83" s="267">
        <f>+DATA!M38</f>
        <v>0</v>
      </c>
      <c r="F83" s="267">
        <f t="shared" si="94"/>
        <v>0</v>
      </c>
      <c r="G83" s="267">
        <f>+DATA!N38</f>
        <v>65065</v>
      </c>
      <c r="H83" s="267">
        <f t="shared" si="95"/>
        <v>0.74362847034715041</v>
      </c>
      <c r="I83" s="267">
        <f>+DATA!O38</f>
        <v>51386.29</v>
      </c>
      <c r="J83" s="267">
        <f t="shared" si="96"/>
        <v>0.58729437069876389</v>
      </c>
      <c r="K83" s="267">
        <f>+DATA!P38</f>
        <v>1783685.07</v>
      </c>
      <c r="L83" s="267">
        <f t="shared" si="97"/>
        <v>20.385752711675249</v>
      </c>
      <c r="M83" s="267">
        <f t="shared" si="104"/>
        <v>1900136.36</v>
      </c>
      <c r="N83" s="267">
        <f t="shared" si="99"/>
        <v>21.71667555272116</v>
      </c>
      <c r="O83" s="267">
        <f t="shared" si="105"/>
        <v>6849528.6399999997</v>
      </c>
      <c r="P83" s="267">
        <f t="shared" si="101"/>
        <v>78.283324447278844</v>
      </c>
      <c r="Q83" s="267">
        <f t="shared" si="106"/>
        <v>15357308.640000001</v>
      </c>
      <c r="R83" s="267">
        <f t="shared" si="103"/>
        <v>88.989468835044818</v>
      </c>
      <c r="S83" s="241"/>
      <c r="T83" s="241"/>
    </row>
    <row r="84" spans="1:20" s="23" customFormat="1" hidden="1">
      <c r="A84" s="5"/>
      <c r="B84" s="169" t="s">
        <v>76</v>
      </c>
      <c r="C84" s="267">
        <f>+DATA!K39</f>
        <v>0</v>
      </c>
      <c r="D84" s="267">
        <f>+DATA!L39</f>
        <v>0</v>
      </c>
      <c r="E84" s="267">
        <f>+DATA!M39</f>
        <v>0</v>
      </c>
      <c r="F84" s="267" t="e">
        <f t="shared" si="94"/>
        <v>#DIV/0!</v>
      </c>
      <c r="G84" s="267">
        <f>+DATA!N39</f>
        <v>0</v>
      </c>
      <c r="H84" s="267" t="e">
        <f t="shared" si="95"/>
        <v>#DIV/0!</v>
      </c>
      <c r="I84" s="267">
        <f>+DATA!O39</f>
        <v>0</v>
      </c>
      <c r="J84" s="267" t="e">
        <f t="shared" si="96"/>
        <v>#DIV/0!</v>
      </c>
      <c r="K84" s="267">
        <f>+DATA!P39</f>
        <v>0</v>
      </c>
      <c r="L84" s="267" t="e">
        <f t="shared" si="97"/>
        <v>#DIV/0!</v>
      </c>
      <c r="M84" s="267">
        <f t="shared" si="104"/>
        <v>0</v>
      </c>
      <c r="N84" s="267" t="e">
        <f t="shared" si="99"/>
        <v>#DIV/0!</v>
      </c>
      <c r="O84" s="267">
        <f t="shared" si="105"/>
        <v>0</v>
      </c>
      <c r="P84" s="267" t="e">
        <f t="shared" si="101"/>
        <v>#DIV/0!</v>
      </c>
      <c r="Q84" s="267">
        <f t="shared" si="106"/>
        <v>0</v>
      </c>
      <c r="R84" s="267" t="e">
        <f t="shared" si="103"/>
        <v>#DIV/0!</v>
      </c>
      <c r="S84" s="241"/>
      <c r="T84" s="241"/>
    </row>
    <row r="85" spans="1:20" s="266" customFormat="1">
      <c r="A85" s="4">
        <v>17</v>
      </c>
      <c r="B85" s="168" t="s">
        <v>86</v>
      </c>
      <c r="C85" s="265">
        <f>+DATA!K61</f>
        <v>7070230</v>
      </c>
      <c r="D85" s="265">
        <f>+DATA!L61</f>
        <v>3588080</v>
      </c>
      <c r="E85" s="265">
        <f>+DATA!M61</f>
        <v>0</v>
      </c>
      <c r="F85" s="265">
        <f t="shared" si="94"/>
        <v>0</v>
      </c>
      <c r="G85" s="265">
        <f>+DATA!N61</f>
        <v>152426</v>
      </c>
      <c r="H85" s="265">
        <f t="shared" si="95"/>
        <v>4.2481215580477585</v>
      </c>
      <c r="I85" s="265">
        <f>+DATA!O61</f>
        <v>61000</v>
      </c>
      <c r="J85" s="265">
        <f t="shared" si="96"/>
        <v>1.7000735769548059</v>
      </c>
      <c r="K85" s="265">
        <f>+DATA!P61</f>
        <v>559807.55000000005</v>
      </c>
      <c r="L85" s="265">
        <f t="shared" si="97"/>
        <v>15.601869244832892</v>
      </c>
      <c r="M85" s="265">
        <f>+E85+G85+I85+K85</f>
        <v>773233.55</v>
      </c>
      <c r="N85" s="265">
        <f t="shared" si="99"/>
        <v>21.550064379835455</v>
      </c>
      <c r="O85" s="265">
        <f>+D85-M85</f>
        <v>2814846.45</v>
      </c>
      <c r="P85" s="265">
        <f t="shared" si="101"/>
        <v>78.449935620164538</v>
      </c>
      <c r="Q85" s="265">
        <f>+C85-M85</f>
        <v>6296996.4500000002</v>
      </c>
      <c r="R85" s="265">
        <f t="shared" si="103"/>
        <v>89.063530465062669</v>
      </c>
      <c r="S85" s="241"/>
      <c r="T85" s="241"/>
    </row>
    <row r="86" spans="1:20" s="23" customFormat="1" hidden="1">
      <c r="A86" s="5"/>
      <c r="B86" s="169" t="s">
        <v>75</v>
      </c>
      <c r="C86" s="267">
        <f>+DATA!K62</f>
        <v>7070230</v>
      </c>
      <c r="D86" s="267">
        <f>+DATA!L62</f>
        <v>3588080</v>
      </c>
      <c r="E86" s="267">
        <f>+DATA!M62</f>
        <v>0</v>
      </c>
      <c r="F86" s="267">
        <f t="shared" si="94"/>
        <v>0</v>
      </c>
      <c r="G86" s="267">
        <f>+DATA!N62</f>
        <v>152426</v>
      </c>
      <c r="H86" s="267">
        <f t="shared" si="95"/>
        <v>4.2481215580477585</v>
      </c>
      <c r="I86" s="267">
        <f>+DATA!O62</f>
        <v>61000</v>
      </c>
      <c r="J86" s="267">
        <f t="shared" si="96"/>
        <v>1.7000735769548059</v>
      </c>
      <c r="K86" s="267">
        <f>+DATA!P62</f>
        <v>559807.55000000005</v>
      </c>
      <c r="L86" s="267">
        <f t="shared" si="97"/>
        <v>15.601869244832892</v>
      </c>
      <c r="M86" s="267">
        <f>+E86+G86+I86+K86</f>
        <v>773233.55</v>
      </c>
      <c r="N86" s="267">
        <f t="shared" si="99"/>
        <v>21.550064379835455</v>
      </c>
      <c r="O86" s="267">
        <f>+D86-M86</f>
        <v>2814846.45</v>
      </c>
      <c r="P86" s="267">
        <f t="shared" si="101"/>
        <v>78.449935620164538</v>
      </c>
      <c r="Q86" s="267">
        <f>+C86-M86</f>
        <v>6296996.4500000002</v>
      </c>
      <c r="R86" s="267">
        <f t="shared" si="103"/>
        <v>89.063530465062669</v>
      </c>
      <c r="S86" s="241"/>
      <c r="T86" s="241"/>
    </row>
    <row r="87" spans="1:20" s="23" customFormat="1" hidden="1">
      <c r="A87" s="5"/>
      <c r="B87" s="169" t="s">
        <v>76</v>
      </c>
      <c r="C87" s="267">
        <f>+DATA!K63</f>
        <v>0</v>
      </c>
      <c r="D87" s="267">
        <f>+DATA!L63</f>
        <v>0</v>
      </c>
      <c r="E87" s="267">
        <f>+DATA!M63</f>
        <v>0</v>
      </c>
      <c r="F87" s="267" t="e">
        <f t="shared" si="94"/>
        <v>#DIV/0!</v>
      </c>
      <c r="G87" s="267">
        <f>+DATA!N63</f>
        <v>0</v>
      </c>
      <c r="H87" s="267" t="e">
        <f t="shared" si="95"/>
        <v>#DIV/0!</v>
      </c>
      <c r="I87" s="267">
        <f>+DATA!O63</f>
        <v>0</v>
      </c>
      <c r="J87" s="267" t="e">
        <f t="shared" si="96"/>
        <v>#DIV/0!</v>
      </c>
      <c r="K87" s="267">
        <f>+DATA!P63</f>
        <v>0</v>
      </c>
      <c r="L87" s="267" t="e">
        <f t="shared" si="97"/>
        <v>#DIV/0!</v>
      </c>
      <c r="M87" s="267">
        <f>+E87+G87+I87+K87</f>
        <v>0</v>
      </c>
      <c r="N87" s="267" t="e">
        <f t="shared" si="99"/>
        <v>#DIV/0!</v>
      </c>
      <c r="O87" s="267">
        <f>+D87-M87</f>
        <v>0</v>
      </c>
      <c r="P87" s="267" t="e">
        <f t="shared" si="101"/>
        <v>#DIV/0!</v>
      </c>
      <c r="Q87" s="267">
        <f>+C87-M87</f>
        <v>0</v>
      </c>
      <c r="R87" s="267" t="e">
        <f t="shared" si="103"/>
        <v>#DIV/0!</v>
      </c>
      <c r="S87" s="241"/>
      <c r="T87" s="241"/>
    </row>
    <row r="88" spans="1:20" s="266" customFormat="1">
      <c r="A88" s="4">
        <v>18</v>
      </c>
      <c r="B88" s="168" t="s">
        <v>89</v>
      </c>
      <c r="C88" s="265">
        <f>+DATA!K70</f>
        <v>7752090</v>
      </c>
      <c r="D88" s="265">
        <f>+DATA!L70</f>
        <v>3794690</v>
      </c>
      <c r="E88" s="265">
        <f>+DATA!M70</f>
        <v>0</v>
      </c>
      <c r="F88" s="265">
        <f t="shared" ref="F88:F90" si="107">+E88*100/$D88</f>
        <v>0</v>
      </c>
      <c r="G88" s="265">
        <f>+DATA!N70</f>
        <v>350</v>
      </c>
      <c r="H88" s="265">
        <f t="shared" ref="H88:H90" si="108">+G88*100/$D88</f>
        <v>9.2234148243993588E-3</v>
      </c>
      <c r="I88" s="265">
        <f>+DATA!O70</f>
        <v>5470</v>
      </c>
      <c r="J88" s="265">
        <f t="shared" ref="J88:J90" si="109">+I88*100/$D88</f>
        <v>0.14414879739846997</v>
      </c>
      <c r="K88" s="265">
        <f>+DATA!P70</f>
        <v>551083.68999999994</v>
      </c>
      <c r="L88" s="265">
        <f t="shared" ref="L88:L90" si="110">+K88*100/$D88</f>
        <v>14.52249564523057</v>
      </c>
      <c r="M88" s="265">
        <f t="shared" ref="M88:M90" si="111">+E88+G88+I88+K88</f>
        <v>556903.68999999994</v>
      </c>
      <c r="N88" s="265">
        <f t="shared" ref="N88:N90" si="112">+M88*100/$D88</f>
        <v>14.67586785745344</v>
      </c>
      <c r="O88" s="265">
        <f t="shared" ref="O88:O90" si="113">+D88-M88</f>
        <v>3237786.31</v>
      </c>
      <c r="P88" s="265">
        <f t="shared" ref="P88:P90" si="114">+O88*100/$D88</f>
        <v>85.32413214254656</v>
      </c>
      <c r="Q88" s="265">
        <f t="shared" ref="Q88:Q90" si="115">+C88-M88</f>
        <v>7195186.3100000005</v>
      </c>
      <c r="R88" s="265">
        <f t="shared" ref="R88:R90" si="116">+Q88*100/C88</f>
        <v>92.816083275606971</v>
      </c>
      <c r="S88" s="241"/>
      <c r="T88" s="241"/>
    </row>
    <row r="89" spans="1:20" s="23" customFormat="1" hidden="1">
      <c r="A89" s="5"/>
      <c r="B89" s="169" t="s">
        <v>75</v>
      </c>
      <c r="C89" s="267">
        <f>+DATA!K71</f>
        <v>7752090</v>
      </c>
      <c r="D89" s="267">
        <f>+DATA!L71</f>
        <v>3794690</v>
      </c>
      <c r="E89" s="267">
        <f>+DATA!M71</f>
        <v>0</v>
      </c>
      <c r="F89" s="267">
        <f t="shared" si="107"/>
        <v>0</v>
      </c>
      <c r="G89" s="267">
        <f>+DATA!N71</f>
        <v>350</v>
      </c>
      <c r="H89" s="267">
        <f t="shared" si="108"/>
        <v>9.2234148243993588E-3</v>
      </c>
      <c r="I89" s="267">
        <f>+DATA!O71</f>
        <v>5470</v>
      </c>
      <c r="J89" s="267">
        <f t="shared" si="109"/>
        <v>0.14414879739846997</v>
      </c>
      <c r="K89" s="267">
        <f>+DATA!P71</f>
        <v>551083.68999999994</v>
      </c>
      <c r="L89" s="267">
        <f t="shared" si="110"/>
        <v>14.52249564523057</v>
      </c>
      <c r="M89" s="267">
        <f t="shared" si="111"/>
        <v>556903.68999999994</v>
      </c>
      <c r="N89" s="267">
        <f t="shared" si="112"/>
        <v>14.67586785745344</v>
      </c>
      <c r="O89" s="267">
        <f t="shared" si="113"/>
        <v>3237786.31</v>
      </c>
      <c r="P89" s="267">
        <f t="shared" si="114"/>
        <v>85.32413214254656</v>
      </c>
      <c r="Q89" s="267">
        <f t="shared" si="115"/>
        <v>7195186.3100000005</v>
      </c>
      <c r="R89" s="267">
        <f t="shared" si="116"/>
        <v>92.816083275606971</v>
      </c>
      <c r="S89" s="241"/>
      <c r="T89" s="241"/>
    </row>
    <row r="90" spans="1:20" s="23" customFormat="1" hidden="1">
      <c r="A90" s="5"/>
      <c r="B90" s="169" t="s">
        <v>76</v>
      </c>
      <c r="C90" s="267">
        <f>+DATA!K72</f>
        <v>0</v>
      </c>
      <c r="D90" s="267">
        <f>+DATA!L72</f>
        <v>0</v>
      </c>
      <c r="E90" s="267">
        <f>+DATA!M72</f>
        <v>0</v>
      </c>
      <c r="F90" s="267" t="e">
        <f t="shared" si="107"/>
        <v>#DIV/0!</v>
      </c>
      <c r="G90" s="267">
        <f>+DATA!N72</f>
        <v>0</v>
      </c>
      <c r="H90" s="267" t="e">
        <f t="shared" si="108"/>
        <v>#DIV/0!</v>
      </c>
      <c r="I90" s="267">
        <f>+DATA!O72</f>
        <v>0</v>
      </c>
      <c r="J90" s="267" t="e">
        <f t="shared" si="109"/>
        <v>#DIV/0!</v>
      </c>
      <c r="K90" s="267">
        <f>+DATA!P72</f>
        <v>0</v>
      </c>
      <c r="L90" s="267" t="e">
        <f t="shared" si="110"/>
        <v>#DIV/0!</v>
      </c>
      <c r="M90" s="267">
        <f t="shared" si="111"/>
        <v>0</v>
      </c>
      <c r="N90" s="267" t="e">
        <f t="shared" si="112"/>
        <v>#DIV/0!</v>
      </c>
      <c r="O90" s="267">
        <f t="shared" si="113"/>
        <v>0</v>
      </c>
      <c r="P90" s="267" t="e">
        <f t="shared" si="114"/>
        <v>#DIV/0!</v>
      </c>
      <c r="Q90" s="267">
        <f t="shared" si="115"/>
        <v>0</v>
      </c>
      <c r="R90" s="267" t="e">
        <f t="shared" si="116"/>
        <v>#DIV/0!</v>
      </c>
      <c r="S90" s="241"/>
      <c r="T90" s="241"/>
    </row>
    <row r="91" spans="1:20" s="28" customFormat="1">
      <c r="A91" s="240">
        <v>19</v>
      </c>
      <c r="B91" s="63" t="s">
        <v>18</v>
      </c>
      <c r="C91" s="223">
        <f>+DATA!K85</f>
        <v>34925100</v>
      </c>
      <c r="D91" s="223">
        <f>+DATA!L85</f>
        <v>15970070</v>
      </c>
      <c r="E91" s="223">
        <f>+DATA!M85</f>
        <v>131289</v>
      </c>
      <c r="F91" s="223">
        <f t="shared" ref="F91:H142" si="117">+E91*100/$D91</f>
        <v>0.82209407973790971</v>
      </c>
      <c r="G91" s="223">
        <f>+DATA!N85</f>
        <v>282866.52999999997</v>
      </c>
      <c r="H91" s="223">
        <f t="shared" si="117"/>
        <v>1.7712291179688002</v>
      </c>
      <c r="I91" s="223">
        <f>+DATA!O85</f>
        <v>131449.25</v>
      </c>
      <c r="J91" s="223">
        <f t="shared" ref="J91" si="118">+I91*100/$D91</f>
        <v>0.82309751929703501</v>
      </c>
      <c r="K91" s="223">
        <f>+DATA!P85</f>
        <v>7252988.21</v>
      </c>
      <c r="L91" s="265">
        <f t="shared" ref="L91" si="119">+K91*100/$D91</f>
        <v>45.416132866042538</v>
      </c>
      <c r="M91" s="223">
        <f t="shared" ref="M91:M101" si="120">+E91+G91+I91+K91</f>
        <v>7798592.9900000002</v>
      </c>
      <c r="N91" s="223">
        <f t="shared" ref="N91" si="121">+M91*100/$D91</f>
        <v>48.832553583046284</v>
      </c>
      <c r="O91" s="223">
        <f t="shared" ref="O91:O98" si="122">+D91-M91</f>
        <v>8171477.0099999998</v>
      </c>
      <c r="P91" s="223">
        <f t="shared" ref="P91" si="123">+O91*100/$D91</f>
        <v>51.167446416953716</v>
      </c>
      <c r="Q91" s="223">
        <f t="shared" ref="Q91:Q98" si="124">+C91-M91</f>
        <v>27126507.009999998</v>
      </c>
      <c r="R91" s="223">
        <f t="shared" ref="R91:R142" si="125">+Q91*100/C91</f>
        <v>77.670520657063264</v>
      </c>
      <c r="S91" s="241"/>
      <c r="T91" s="241"/>
    </row>
    <row r="92" spans="1:20">
      <c r="A92" s="263"/>
      <c r="B92" s="51" t="s">
        <v>19</v>
      </c>
      <c r="C92" s="221">
        <f>+DATA!K86</f>
        <v>3632700</v>
      </c>
      <c r="D92" s="221">
        <f>+DATA!L86</f>
        <v>1463625</v>
      </c>
      <c r="E92" s="221">
        <f>+DATA!M86</f>
        <v>131289</v>
      </c>
      <c r="F92" s="221">
        <f t="shared" si="117"/>
        <v>8.9701255444529853</v>
      </c>
      <c r="G92" s="221">
        <f>+DATA!N86</f>
        <v>2000</v>
      </c>
      <c r="H92" s="221">
        <f t="shared" si="117"/>
        <v>0.13664702365701598</v>
      </c>
      <c r="I92" s="221">
        <f>+DATA!O86</f>
        <v>6955</v>
      </c>
      <c r="J92" s="221">
        <f t="shared" ref="J92" si="126">+I92*100/$D92</f>
        <v>0.47519002476727301</v>
      </c>
      <c r="K92" s="221">
        <f>+DATA!P86</f>
        <v>142266</v>
      </c>
      <c r="L92" s="267">
        <f t="shared" ref="L92" si="127">+K92*100/$D92</f>
        <v>9.720112733794517</v>
      </c>
      <c r="M92" s="221">
        <f t="shared" si="120"/>
        <v>282510</v>
      </c>
      <c r="N92" s="221">
        <f t="shared" ref="N92" si="128">+M92*100/$D92</f>
        <v>19.30207532667179</v>
      </c>
      <c r="O92" s="221">
        <f t="shared" si="122"/>
        <v>1181115</v>
      </c>
      <c r="P92" s="221">
        <f t="shared" ref="P92" si="129">+O92*100/$D92</f>
        <v>80.697924673328203</v>
      </c>
      <c r="Q92" s="221">
        <f t="shared" si="124"/>
        <v>3350190</v>
      </c>
      <c r="R92" s="221">
        <f t="shared" si="125"/>
        <v>92.223139813361968</v>
      </c>
      <c r="S92" s="241"/>
      <c r="T92" s="241"/>
    </row>
    <row r="93" spans="1:20">
      <c r="A93" s="263"/>
      <c r="B93" s="51" t="s">
        <v>20</v>
      </c>
      <c r="C93" s="221">
        <f>+DATA!K87</f>
        <v>213200</v>
      </c>
      <c r="D93" s="221">
        <f>+DATA!L87</f>
        <v>106600</v>
      </c>
      <c r="E93" s="221">
        <f>+DATA!M87</f>
        <v>0</v>
      </c>
      <c r="F93" s="221">
        <f t="shared" si="117"/>
        <v>0</v>
      </c>
      <c r="G93" s="221">
        <f>+DATA!N87</f>
        <v>2487.75</v>
      </c>
      <c r="H93" s="221">
        <f t="shared" si="117"/>
        <v>2.3337242026266418</v>
      </c>
      <c r="I93" s="221">
        <f>+DATA!O87</f>
        <v>0</v>
      </c>
      <c r="J93" s="221">
        <f t="shared" ref="J93" si="130">+I93*100/$D93</f>
        <v>0</v>
      </c>
      <c r="K93" s="221">
        <f>+DATA!P87</f>
        <v>25520.51</v>
      </c>
      <c r="L93" s="267">
        <f t="shared" ref="L93" si="131">+K93*100/$D93</f>
        <v>23.940440900562852</v>
      </c>
      <c r="M93" s="221">
        <f t="shared" si="120"/>
        <v>28008.26</v>
      </c>
      <c r="N93" s="221">
        <f t="shared" ref="N93" si="132">+M93*100/$D93</f>
        <v>26.274165103189492</v>
      </c>
      <c r="O93" s="221">
        <f t="shared" si="122"/>
        <v>78591.740000000005</v>
      </c>
      <c r="P93" s="221">
        <f t="shared" ref="P93" si="133">+O93*100/$D93</f>
        <v>73.725834896810511</v>
      </c>
      <c r="Q93" s="221">
        <f t="shared" si="124"/>
        <v>185191.74</v>
      </c>
      <c r="R93" s="221">
        <f t="shared" si="125"/>
        <v>86.862917448405256</v>
      </c>
      <c r="S93" s="241"/>
      <c r="T93" s="241"/>
    </row>
    <row r="94" spans="1:20">
      <c r="A94" s="263"/>
      <c r="B94" s="51" t="s">
        <v>21</v>
      </c>
      <c r="C94" s="221">
        <f>+DATA!K88</f>
        <v>285400</v>
      </c>
      <c r="D94" s="221">
        <f>+DATA!L88</f>
        <v>118920</v>
      </c>
      <c r="E94" s="221">
        <f>+DATA!M88</f>
        <v>0</v>
      </c>
      <c r="F94" s="221">
        <f t="shared" si="117"/>
        <v>0</v>
      </c>
      <c r="G94" s="221">
        <f>+DATA!N88</f>
        <v>0</v>
      </c>
      <c r="H94" s="221">
        <f t="shared" si="117"/>
        <v>0</v>
      </c>
      <c r="I94" s="221">
        <f>+DATA!O88</f>
        <v>0</v>
      </c>
      <c r="J94" s="221">
        <f t="shared" ref="J94" si="134">+I94*100/$D94</f>
        <v>0</v>
      </c>
      <c r="K94" s="221">
        <f>+DATA!P88</f>
        <v>48800</v>
      </c>
      <c r="L94" s="267">
        <f t="shared" ref="L94" si="135">+K94*100/$D94</f>
        <v>41.035990581903803</v>
      </c>
      <c r="M94" s="221">
        <f t="shared" si="120"/>
        <v>48800</v>
      </c>
      <c r="N94" s="221">
        <f t="shared" ref="N94" si="136">+M94*100/$D94</f>
        <v>41.035990581903803</v>
      </c>
      <c r="O94" s="221">
        <f t="shared" si="122"/>
        <v>70120</v>
      </c>
      <c r="P94" s="221">
        <f t="shared" ref="P94" si="137">+O94*100/$D94</f>
        <v>58.964009418096197</v>
      </c>
      <c r="Q94" s="221">
        <f t="shared" si="124"/>
        <v>236600</v>
      </c>
      <c r="R94" s="221">
        <f t="shared" si="125"/>
        <v>82.90119131044149</v>
      </c>
      <c r="S94" s="241"/>
      <c r="T94" s="241"/>
    </row>
    <row r="95" spans="1:20">
      <c r="A95" s="263"/>
      <c r="B95" s="51" t="s">
        <v>22</v>
      </c>
      <c r="C95" s="221">
        <f>+DATA!K89</f>
        <v>100000</v>
      </c>
      <c r="D95" s="221">
        <f>+DATA!L89</f>
        <v>100000</v>
      </c>
      <c r="E95" s="221">
        <f>+DATA!M89</f>
        <v>0</v>
      </c>
      <c r="F95" s="221">
        <f t="shared" si="117"/>
        <v>0</v>
      </c>
      <c r="G95" s="221">
        <f>+DATA!N89</f>
        <v>0</v>
      </c>
      <c r="H95" s="221">
        <f t="shared" si="117"/>
        <v>0</v>
      </c>
      <c r="I95" s="221">
        <f>+DATA!O89</f>
        <v>0</v>
      </c>
      <c r="J95" s="221">
        <f t="shared" ref="J95" si="138">+I95*100/$D95</f>
        <v>0</v>
      </c>
      <c r="K95" s="221">
        <f>+DATA!P89</f>
        <v>0</v>
      </c>
      <c r="L95" s="267">
        <f t="shared" ref="L95" si="139">+K95*100/$D95</f>
        <v>0</v>
      </c>
      <c r="M95" s="221">
        <f t="shared" si="120"/>
        <v>0</v>
      </c>
      <c r="N95" s="221">
        <f t="shared" ref="N95" si="140">+M95*100/$D95</f>
        <v>0</v>
      </c>
      <c r="O95" s="221">
        <f t="shared" si="122"/>
        <v>100000</v>
      </c>
      <c r="P95" s="221">
        <f t="shared" ref="P95" si="141">+O95*100/$D95</f>
        <v>100</v>
      </c>
      <c r="Q95" s="221">
        <f t="shared" si="124"/>
        <v>100000</v>
      </c>
      <c r="R95" s="221">
        <f t="shared" si="125"/>
        <v>100</v>
      </c>
      <c r="S95" s="241"/>
      <c r="T95" s="241"/>
    </row>
    <row r="96" spans="1:20">
      <c r="A96" s="263"/>
      <c r="B96" s="51" t="s">
        <v>23</v>
      </c>
      <c r="C96" s="221">
        <f>+DATA!K90</f>
        <v>510000</v>
      </c>
      <c r="D96" s="221">
        <f>+DATA!L90</f>
        <v>212500</v>
      </c>
      <c r="E96" s="221">
        <f>+DATA!M90</f>
        <v>0</v>
      </c>
      <c r="F96" s="221">
        <f t="shared" si="117"/>
        <v>0</v>
      </c>
      <c r="G96" s="221">
        <f>+DATA!N90</f>
        <v>0</v>
      </c>
      <c r="H96" s="221">
        <f t="shared" si="117"/>
        <v>0</v>
      </c>
      <c r="I96" s="221">
        <f>+DATA!O90</f>
        <v>124494.25</v>
      </c>
      <c r="J96" s="221">
        <f t="shared" ref="J96" si="142">+I96*100/$D96</f>
        <v>58.585529411764703</v>
      </c>
      <c r="K96" s="221">
        <f>+DATA!P90</f>
        <v>0</v>
      </c>
      <c r="L96" s="267">
        <f t="shared" ref="L96" si="143">+K96*100/$D96</f>
        <v>0</v>
      </c>
      <c r="M96" s="221">
        <f t="shared" si="120"/>
        <v>124494.25</v>
      </c>
      <c r="N96" s="221">
        <f t="shared" ref="N96" si="144">+M96*100/$D96</f>
        <v>58.585529411764703</v>
      </c>
      <c r="O96" s="221">
        <f t="shared" si="122"/>
        <v>88005.75</v>
      </c>
      <c r="P96" s="221">
        <f t="shared" ref="P96" si="145">+O96*100/$D96</f>
        <v>41.414470588235297</v>
      </c>
      <c r="Q96" s="221">
        <f t="shared" si="124"/>
        <v>385505.75</v>
      </c>
      <c r="R96" s="221">
        <f t="shared" si="125"/>
        <v>75.589362745098043</v>
      </c>
      <c r="S96" s="241"/>
      <c r="T96" s="241"/>
    </row>
    <row r="97" spans="1:20">
      <c r="A97" s="263"/>
      <c r="B97" s="51" t="s">
        <v>24</v>
      </c>
      <c r="C97" s="221">
        <f>+DATA!K91</f>
        <v>1296000</v>
      </c>
      <c r="D97" s="221">
        <f>+DATA!L91</f>
        <v>540000</v>
      </c>
      <c r="E97" s="221">
        <f>+DATA!M91</f>
        <v>0</v>
      </c>
      <c r="F97" s="221">
        <f t="shared" si="117"/>
        <v>0</v>
      </c>
      <c r="G97" s="221">
        <f>+DATA!N91</f>
        <v>0</v>
      </c>
      <c r="H97" s="221">
        <f t="shared" si="117"/>
        <v>0</v>
      </c>
      <c r="I97" s="221">
        <f>+DATA!O91</f>
        <v>0</v>
      </c>
      <c r="J97" s="221">
        <f t="shared" ref="J97" si="146">+I97*100/$D97</f>
        <v>0</v>
      </c>
      <c r="K97" s="221">
        <f>+DATA!P91</f>
        <v>324000</v>
      </c>
      <c r="L97" s="267">
        <f t="shared" ref="L97" si="147">+K97*100/$D97</f>
        <v>60</v>
      </c>
      <c r="M97" s="221">
        <f t="shared" si="120"/>
        <v>324000</v>
      </c>
      <c r="N97" s="221">
        <f t="shared" ref="N97" si="148">+M97*100/$D97</f>
        <v>60</v>
      </c>
      <c r="O97" s="221">
        <f t="shared" si="122"/>
        <v>216000</v>
      </c>
      <c r="P97" s="221">
        <f t="shared" ref="P97" si="149">+O97*100/$D97</f>
        <v>40</v>
      </c>
      <c r="Q97" s="221">
        <f t="shared" si="124"/>
        <v>972000</v>
      </c>
      <c r="R97" s="221">
        <f t="shared" si="125"/>
        <v>75</v>
      </c>
      <c r="S97" s="241"/>
      <c r="T97" s="241"/>
    </row>
    <row r="98" spans="1:20">
      <c r="A98" s="263"/>
      <c r="B98" s="51" t="s">
        <v>25</v>
      </c>
      <c r="C98" s="221">
        <f>+DATA!K92</f>
        <v>12185700</v>
      </c>
      <c r="D98" s="221">
        <f>+DATA!L92</f>
        <v>5077375</v>
      </c>
      <c r="E98" s="221">
        <f>+DATA!M92</f>
        <v>0</v>
      </c>
      <c r="F98" s="221">
        <f>+E98*100/$D$98</f>
        <v>0</v>
      </c>
      <c r="G98" s="221">
        <f>+DATA!N92</f>
        <v>3000</v>
      </c>
      <c r="H98" s="221">
        <f>+G98*100/$D$98</f>
        <v>5.9085649572859993E-2</v>
      </c>
      <c r="I98" s="221">
        <f>+DATA!O92</f>
        <v>0</v>
      </c>
      <c r="J98" s="221">
        <f>+I98*100/$D$98</f>
        <v>0</v>
      </c>
      <c r="K98" s="221">
        <f>+DATA!P92</f>
        <v>2082489.86</v>
      </c>
      <c r="L98" s="267">
        <f>+K98*100/$D$98</f>
        <v>41.015088702331418</v>
      </c>
      <c r="M98" s="221">
        <f t="shared" si="120"/>
        <v>2085489.86</v>
      </c>
      <c r="N98" s="221">
        <f>+M98*100/$D$98</f>
        <v>41.074174351904283</v>
      </c>
      <c r="O98" s="221">
        <f t="shared" si="122"/>
        <v>2991885.1399999997</v>
      </c>
      <c r="P98" s="221">
        <f t="shared" ref="P98" si="150">+O98*100/$D98</f>
        <v>58.92582564809571</v>
      </c>
      <c r="Q98" s="221">
        <f t="shared" si="124"/>
        <v>10100210.140000001</v>
      </c>
      <c r="R98" s="221">
        <f t="shared" si="125"/>
        <v>82.885760686706547</v>
      </c>
      <c r="S98" s="241"/>
      <c r="T98" s="241"/>
    </row>
    <row r="99" spans="1:20" hidden="1">
      <c r="A99" s="263"/>
      <c r="B99" s="51" t="s">
        <v>26</v>
      </c>
      <c r="C99" s="221">
        <f>+DATA!K93</f>
        <v>0</v>
      </c>
      <c r="D99" s="221">
        <f>+DATA!L93</f>
        <v>0</v>
      </c>
      <c r="E99" s="221">
        <f>+DATA!M93</f>
        <v>0</v>
      </c>
      <c r="F99" s="221">
        <f t="shared" ref="F99:H112" si="151">+E99*100/$D$98</f>
        <v>0</v>
      </c>
      <c r="G99" s="221">
        <f>+DATA!N93</f>
        <v>0</v>
      </c>
      <c r="H99" s="221">
        <f t="shared" si="151"/>
        <v>0</v>
      </c>
      <c r="I99" s="221">
        <f>+DATA!O93</f>
        <v>0</v>
      </c>
      <c r="J99" s="221">
        <f t="shared" ref="J99" si="152">+I99*100/$D$98</f>
        <v>0</v>
      </c>
      <c r="K99" s="221">
        <f>+DATA!P93</f>
        <v>0</v>
      </c>
      <c r="L99" s="267">
        <f t="shared" ref="L99" si="153">+K99*100/$D$98</f>
        <v>0</v>
      </c>
      <c r="M99" s="221">
        <f t="shared" si="120"/>
        <v>0</v>
      </c>
      <c r="N99" s="221">
        <f t="shared" ref="N99" si="154">+M99*100/$D$98</f>
        <v>0</v>
      </c>
      <c r="O99" s="221"/>
      <c r="P99" s="221"/>
      <c r="Q99" s="221"/>
      <c r="R99" s="221"/>
      <c r="S99" s="241"/>
      <c r="T99" s="241"/>
    </row>
    <row r="100" spans="1:20" hidden="1">
      <c r="A100" s="263"/>
      <c r="B100" s="51" t="s">
        <v>27</v>
      </c>
      <c r="C100" s="221">
        <f>+DATA!K94</f>
        <v>0</v>
      </c>
      <c r="D100" s="221">
        <f>+DATA!L94</f>
        <v>0</v>
      </c>
      <c r="E100" s="221">
        <f>+DATA!M94</f>
        <v>0</v>
      </c>
      <c r="F100" s="221">
        <f t="shared" si="151"/>
        <v>0</v>
      </c>
      <c r="G100" s="221">
        <f>+DATA!N94</f>
        <v>0</v>
      </c>
      <c r="H100" s="221">
        <f t="shared" si="151"/>
        <v>0</v>
      </c>
      <c r="I100" s="221">
        <f>+DATA!O94</f>
        <v>0</v>
      </c>
      <c r="J100" s="221">
        <f t="shared" ref="J100" si="155">+I100*100/$D$98</f>
        <v>0</v>
      </c>
      <c r="K100" s="221">
        <f>+DATA!P94</f>
        <v>0</v>
      </c>
      <c r="L100" s="267">
        <f t="shared" ref="L100" si="156">+K100*100/$D$98</f>
        <v>0</v>
      </c>
      <c r="M100" s="221">
        <f t="shared" si="120"/>
        <v>0</v>
      </c>
      <c r="N100" s="221">
        <f t="shared" ref="N100" si="157">+M100*100/$D$98</f>
        <v>0</v>
      </c>
      <c r="O100" s="221"/>
      <c r="P100" s="221"/>
      <c r="Q100" s="221"/>
      <c r="R100" s="221"/>
      <c r="S100" s="241"/>
      <c r="T100" s="241"/>
    </row>
    <row r="101" spans="1:20" hidden="1">
      <c r="A101" s="263"/>
      <c r="B101" s="51" t="s">
        <v>28</v>
      </c>
      <c r="C101" s="221">
        <f>+DATA!K95</f>
        <v>0</v>
      </c>
      <c r="D101" s="221">
        <f>+DATA!L95</f>
        <v>0</v>
      </c>
      <c r="E101" s="221">
        <f>+DATA!M95</f>
        <v>0</v>
      </c>
      <c r="F101" s="221">
        <f t="shared" si="151"/>
        <v>0</v>
      </c>
      <c r="G101" s="221">
        <f>+DATA!N95</f>
        <v>3000</v>
      </c>
      <c r="H101" s="221">
        <f t="shared" si="151"/>
        <v>5.9085649572859993E-2</v>
      </c>
      <c r="I101" s="221">
        <f>+DATA!O95</f>
        <v>0</v>
      </c>
      <c r="J101" s="221">
        <f t="shared" ref="J101" si="158">+I101*100/$D$98</f>
        <v>0</v>
      </c>
      <c r="K101" s="221">
        <f>+DATA!P95</f>
        <v>13000</v>
      </c>
      <c r="L101" s="267">
        <f t="shared" ref="L101" si="159">+K101*100/$D$98</f>
        <v>0.25603781481572663</v>
      </c>
      <c r="M101" s="221">
        <f t="shared" si="120"/>
        <v>16000</v>
      </c>
      <c r="N101" s="221">
        <f t="shared" ref="N101" si="160">+M101*100/$D$98</f>
        <v>0.31512346438858663</v>
      </c>
      <c r="O101" s="221"/>
      <c r="P101" s="221"/>
      <c r="Q101" s="221"/>
      <c r="R101" s="221"/>
      <c r="S101" s="241"/>
      <c r="T101" s="241"/>
    </row>
    <row r="102" spans="1:20" hidden="1">
      <c r="A102" s="263"/>
      <c r="B102" s="51" t="s">
        <v>170</v>
      </c>
      <c r="C102" s="221">
        <f>+DATA!K96</f>
        <v>0</v>
      </c>
      <c r="D102" s="221">
        <f>+DATA!L96</f>
        <v>0</v>
      </c>
      <c r="E102" s="221">
        <f>+DATA!M96</f>
        <v>0</v>
      </c>
      <c r="F102" s="221">
        <f t="shared" si="151"/>
        <v>0</v>
      </c>
      <c r="G102" s="221">
        <f>+DATA!N96</f>
        <v>0</v>
      </c>
      <c r="H102" s="221">
        <f t="shared" si="151"/>
        <v>0</v>
      </c>
      <c r="I102" s="221">
        <f>+DATA!O96</f>
        <v>0</v>
      </c>
      <c r="J102" s="221">
        <f t="shared" ref="J102" si="161">+I102*100/$D$98</f>
        <v>0</v>
      </c>
      <c r="K102" s="221">
        <f>+DATA!P96</f>
        <v>773733</v>
      </c>
      <c r="L102" s="267">
        <f t="shared" ref="L102" si="162">+K102*100/$D$98</f>
        <v>15.238838966985893</v>
      </c>
      <c r="M102" s="221">
        <f t="shared" ref="M102:M130" si="163">+E102+G102+I102+K102</f>
        <v>773733</v>
      </c>
      <c r="N102" s="221">
        <f t="shared" ref="N102" si="164">+M102*100/$D$98</f>
        <v>15.238838966985893</v>
      </c>
      <c r="O102" s="221"/>
      <c r="P102" s="221"/>
      <c r="Q102" s="221"/>
      <c r="R102" s="221"/>
      <c r="S102" s="241"/>
      <c r="T102" s="241"/>
    </row>
    <row r="103" spans="1:20" hidden="1">
      <c r="A103" s="263"/>
      <c r="B103" s="51" t="s">
        <v>169</v>
      </c>
      <c r="C103" s="221">
        <f>+DATA!K97</f>
        <v>0</v>
      </c>
      <c r="D103" s="221">
        <f>+DATA!L97</f>
        <v>0</v>
      </c>
      <c r="E103" s="221">
        <f>+DATA!M97</f>
        <v>0</v>
      </c>
      <c r="F103" s="221">
        <f t="shared" si="151"/>
        <v>0</v>
      </c>
      <c r="G103" s="221">
        <f>+DATA!N97</f>
        <v>0</v>
      </c>
      <c r="H103" s="221">
        <f t="shared" si="151"/>
        <v>0</v>
      </c>
      <c r="I103" s="221">
        <f>+DATA!O97</f>
        <v>0</v>
      </c>
      <c r="J103" s="221">
        <f t="shared" ref="J103" si="165">+I103*100/$D$98</f>
        <v>0</v>
      </c>
      <c r="K103" s="221">
        <f>+DATA!P97</f>
        <v>220110</v>
      </c>
      <c r="L103" s="267">
        <f t="shared" ref="L103" si="166">+K103*100/$D$98</f>
        <v>4.3351141091607373</v>
      </c>
      <c r="M103" s="221">
        <f t="shared" si="163"/>
        <v>220110</v>
      </c>
      <c r="N103" s="221">
        <f t="shared" ref="N103" si="167">+M103*100/$D$98</f>
        <v>4.3351141091607373</v>
      </c>
      <c r="O103" s="221"/>
      <c r="P103" s="221"/>
      <c r="Q103" s="221"/>
      <c r="R103" s="221"/>
      <c r="S103" s="241"/>
      <c r="T103" s="241"/>
    </row>
    <row r="104" spans="1:20" hidden="1">
      <c r="A104" s="263"/>
      <c r="B104" s="51" t="s">
        <v>171</v>
      </c>
      <c r="C104" s="221">
        <f>+DATA!K98</f>
        <v>0</v>
      </c>
      <c r="D104" s="221">
        <f>+DATA!L98</f>
        <v>0</v>
      </c>
      <c r="E104" s="221">
        <f>+DATA!M98</f>
        <v>0</v>
      </c>
      <c r="F104" s="221">
        <f t="shared" si="151"/>
        <v>0</v>
      </c>
      <c r="G104" s="221">
        <f>+DATA!N98</f>
        <v>0</v>
      </c>
      <c r="H104" s="221">
        <f t="shared" si="151"/>
        <v>0</v>
      </c>
      <c r="I104" s="221">
        <f>+DATA!O98</f>
        <v>0</v>
      </c>
      <c r="J104" s="221">
        <f t="shared" ref="J104" si="168">+I104*100/$D$98</f>
        <v>0</v>
      </c>
      <c r="K104" s="221">
        <f>+DATA!P98</f>
        <v>70218.759999999995</v>
      </c>
      <c r="L104" s="267">
        <f t="shared" ref="L104" si="169">+K104*100/$D$98</f>
        <v>1.3829736822669192</v>
      </c>
      <c r="M104" s="221">
        <f t="shared" si="163"/>
        <v>70218.759999999995</v>
      </c>
      <c r="N104" s="221">
        <f t="shared" ref="N104" si="170">+M104*100/$D$98</f>
        <v>1.3829736822669192</v>
      </c>
      <c r="O104" s="221"/>
      <c r="P104" s="221"/>
      <c r="Q104" s="221"/>
      <c r="R104" s="221"/>
      <c r="S104" s="241"/>
      <c r="T104" s="241"/>
    </row>
    <row r="105" spans="1:20" hidden="1">
      <c r="A105" s="263"/>
      <c r="B105" s="51" t="s">
        <v>172</v>
      </c>
      <c r="C105" s="221">
        <f>+DATA!K99</f>
        <v>0</v>
      </c>
      <c r="D105" s="221">
        <f>+DATA!L99</f>
        <v>0</v>
      </c>
      <c r="E105" s="221">
        <f>+DATA!M99</f>
        <v>0</v>
      </c>
      <c r="F105" s="221">
        <f t="shared" si="151"/>
        <v>0</v>
      </c>
      <c r="G105" s="221">
        <f>+DATA!N99</f>
        <v>0</v>
      </c>
      <c r="H105" s="221">
        <f t="shared" si="151"/>
        <v>0</v>
      </c>
      <c r="I105" s="221">
        <f>+DATA!O99</f>
        <v>0</v>
      </c>
      <c r="J105" s="221">
        <f t="shared" ref="J105" si="171">+I105*100/$D$98</f>
        <v>0</v>
      </c>
      <c r="K105" s="221">
        <f>+DATA!P99</f>
        <v>16000</v>
      </c>
      <c r="L105" s="267">
        <f t="shared" ref="L105" si="172">+K105*100/$D$98</f>
        <v>0.31512346438858663</v>
      </c>
      <c r="M105" s="221">
        <f t="shared" si="163"/>
        <v>16000</v>
      </c>
      <c r="N105" s="221">
        <f t="shared" ref="N105" si="173">+M105*100/$D$98</f>
        <v>0.31512346438858663</v>
      </c>
      <c r="O105" s="221"/>
      <c r="P105" s="221"/>
      <c r="Q105" s="221"/>
      <c r="R105" s="221"/>
      <c r="S105" s="241"/>
      <c r="T105" s="241"/>
    </row>
    <row r="106" spans="1:20" hidden="1">
      <c r="A106" s="263"/>
      <c r="B106" s="51" t="s">
        <v>173</v>
      </c>
      <c r="C106" s="221">
        <f>+DATA!K100</f>
        <v>0</v>
      </c>
      <c r="D106" s="221">
        <f>+DATA!L100</f>
        <v>0</v>
      </c>
      <c r="E106" s="221">
        <f>+DATA!M100</f>
        <v>0</v>
      </c>
      <c r="F106" s="221">
        <f t="shared" si="151"/>
        <v>0</v>
      </c>
      <c r="G106" s="221">
        <f>+DATA!N100</f>
        <v>0</v>
      </c>
      <c r="H106" s="221">
        <f t="shared" si="151"/>
        <v>0</v>
      </c>
      <c r="I106" s="221">
        <f>+DATA!O100</f>
        <v>0</v>
      </c>
      <c r="J106" s="221">
        <f t="shared" ref="J106" si="174">+I106*100/$D$98</f>
        <v>0</v>
      </c>
      <c r="K106" s="221">
        <f>+DATA!P100</f>
        <v>9897.5</v>
      </c>
      <c r="L106" s="267">
        <f t="shared" ref="L106" si="175">+K106*100/$D$98</f>
        <v>0.19493340554912725</v>
      </c>
      <c r="M106" s="221">
        <f t="shared" si="163"/>
        <v>9897.5</v>
      </c>
      <c r="N106" s="221">
        <f t="shared" ref="N106" si="176">+M106*100/$D$98</f>
        <v>0.19493340554912725</v>
      </c>
      <c r="O106" s="221"/>
      <c r="P106" s="221"/>
      <c r="Q106" s="221"/>
      <c r="R106" s="221"/>
      <c r="S106" s="241"/>
      <c r="T106" s="241"/>
    </row>
    <row r="107" spans="1:20" hidden="1">
      <c r="A107" s="263"/>
      <c r="B107" s="51" t="s">
        <v>34</v>
      </c>
      <c r="C107" s="221">
        <f>+DATA!K101</f>
        <v>0</v>
      </c>
      <c r="D107" s="221">
        <f>+DATA!L101</f>
        <v>0</v>
      </c>
      <c r="E107" s="221">
        <f>+DATA!M101</f>
        <v>0</v>
      </c>
      <c r="F107" s="221">
        <f t="shared" si="151"/>
        <v>0</v>
      </c>
      <c r="G107" s="221">
        <f>+DATA!N101</f>
        <v>0</v>
      </c>
      <c r="H107" s="221">
        <f t="shared" si="151"/>
        <v>0</v>
      </c>
      <c r="I107" s="221">
        <f>+DATA!O101</f>
        <v>0</v>
      </c>
      <c r="J107" s="221">
        <f t="shared" ref="J107" si="177">+I107*100/$D$98</f>
        <v>0</v>
      </c>
      <c r="K107" s="221">
        <f>+DATA!P101</f>
        <v>922200</v>
      </c>
      <c r="L107" s="267">
        <f t="shared" ref="L107" si="178">+K107*100/$D$98</f>
        <v>18.16292867869716</v>
      </c>
      <c r="M107" s="221">
        <f t="shared" si="163"/>
        <v>922200</v>
      </c>
      <c r="N107" s="221">
        <f t="shared" ref="N107" si="179">+M107*100/$D$98</f>
        <v>18.16292867869716</v>
      </c>
      <c r="O107" s="221"/>
      <c r="P107" s="221"/>
      <c r="Q107" s="221"/>
      <c r="R107" s="221"/>
      <c r="S107" s="241"/>
      <c r="T107" s="241"/>
    </row>
    <row r="108" spans="1:20" hidden="1">
      <c r="A108" s="263"/>
      <c r="B108" s="51" t="s">
        <v>174</v>
      </c>
      <c r="C108" s="221">
        <f>+DATA!K102</f>
        <v>0</v>
      </c>
      <c r="D108" s="221">
        <f>+DATA!L102</f>
        <v>0</v>
      </c>
      <c r="E108" s="221">
        <f>+DATA!M102</f>
        <v>0</v>
      </c>
      <c r="F108" s="221">
        <f t="shared" si="151"/>
        <v>0</v>
      </c>
      <c r="G108" s="221">
        <f>+DATA!N102</f>
        <v>0</v>
      </c>
      <c r="H108" s="221">
        <f t="shared" si="151"/>
        <v>0</v>
      </c>
      <c r="I108" s="221">
        <f>+DATA!O102</f>
        <v>0</v>
      </c>
      <c r="J108" s="221">
        <f t="shared" ref="J108" si="180">+I108*100/$D$98</f>
        <v>0</v>
      </c>
      <c r="K108" s="221">
        <f>+DATA!P102</f>
        <v>6420</v>
      </c>
      <c r="L108" s="267">
        <f t="shared" ref="L108" si="181">+K108*100/$D$98</f>
        <v>0.1264432900859204</v>
      </c>
      <c r="M108" s="221">
        <f t="shared" si="163"/>
        <v>6420</v>
      </c>
      <c r="N108" s="221">
        <f t="shared" ref="N108" si="182">+M108*100/$D$98</f>
        <v>0.1264432900859204</v>
      </c>
      <c r="O108" s="221"/>
      <c r="P108" s="221"/>
      <c r="Q108" s="221"/>
      <c r="R108" s="221"/>
      <c r="S108" s="241"/>
      <c r="T108" s="241"/>
    </row>
    <row r="109" spans="1:20" hidden="1">
      <c r="A109" s="263"/>
      <c r="B109" s="51" t="s">
        <v>175</v>
      </c>
      <c r="C109" s="221">
        <f>+DATA!K103</f>
        <v>0</v>
      </c>
      <c r="D109" s="221">
        <f>+DATA!L103</f>
        <v>0</v>
      </c>
      <c r="E109" s="221">
        <f>+DATA!M103</f>
        <v>0</v>
      </c>
      <c r="F109" s="221">
        <f t="shared" si="151"/>
        <v>0</v>
      </c>
      <c r="G109" s="221">
        <f>+DATA!N103</f>
        <v>0</v>
      </c>
      <c r="H109" s="221">
        <f t="shared" si="151"/>
        <v>0</v>
      </c>
      <c r="I109" s="221">
        <f>+DATA!O103</f>
        <v>0</v>
      </c>
      <c r="J109" s="221">
        <f t="shared" ref="J109" si="183">+I109*100/$D$98</f>
        <v>0</v>
      </c>
      <c r="K109" s="221">
        <f>+DATA!P103</f>
        <v>12840</v>
      </c>
      <c r="L109" s="267">
        <f t="shared" ref="L109" si="184">+K109*100/$D$98</f>
        <v>0.25288658017184079</v>
      </c>
      <c r="M109" s="221">
        <f t="shared" si="163"/>
        <v>12840</v>
      </c>
      <c r="N109" s="221">
        <f t="shared" ref="N109" si="185">+M109*100/$D$98</f>
        <v>0.25288658017184079</v>
      </c>
      <c r="O109" s="221"/>
      <c r="P109" s="221"/>
      <c r="Q109" s="221"/>
      <c r="R109" s="221"/>
      <c r="S109" s="241"/>
      <c r="T109" s="241"/>
    </row>
    <row r="110" spans="1:20" hidden="1">
      <c r="A110" s="263"/>
      <c r="B110" s="51" t="s">
        <v>176</v>
      </c>
      <c r="C110" s="221">
        <f>+DATA!K104</f>
        <v>0</v>
      </c>
      <c r="D110" s="221">
        <f>+DATA!L104</f>
        <v>0</v>
      </c>
      <c r="E110" s="221">
        <f>+DATA!M104</f>
        <v>0</v>
      </c>
      <c r="F110" s="221">
        <f t="shared" si="151"/>
        <v>0</v>
      </c>
      <c r="G110" s="221">
        <f>+DATA!N104</f>
        <v>0</v>
      </c>
      <c r="H110" s="221">
        <f t="shared" si="151"/>
        <v>0</v>
      </c>
      <c r="I110" s="221">
        <f>+DATA!O104</f>
        <v>0</v>
      </c>
      <c r="J110" s="221">
        <f t="shared" ref="J110" si="186">+I110*100/$D$98</f>
        <v>0</v>
      </c>
      <c r="K110" s="221">
        <f>+DATA!P104</f>
        <v>16050</v>
      </c>
      <c r="L110" s="267">
        <f t="shared" ref="L110" si="187">+K110*100/$D$98</f>
        <v>0.31610822521480098</v>
      </c>
      <c r="M110" s="221">
        <f t="shared" si="163"/>
        <v>16050</v>
      </c>
      <c r="N110" s="221">
        <f t="shared" ref="N110" si="188">+M110*100/$D$98</f>
        <v>0.31610822521480098</v>
      </c>
      <c r="O110" s="221"/>
      <c r="P110" s="221"/>
      <c r="Q110" s="221"/>
      <c r="R110" s="221"/>
      <c r="S110" s="241"/>
      <c r="T110" s="241"/>
    </row>
    <row r="111" spans="1:20" hidden="1">
      <c r="A111" s="263"/>
      <c r="B111" s="51" t="s">
        <v>177</v>
      </c>
      <c r="C111" s="221">
        <f>+DATA!K105</f>
        <v>0</v>
      </c>
      <c r="D111" s="221">
        <f>+DATA!L105</f>
        <v>0</v>
      </c>
      <c r="E111" s="221">
        <f>+DATA!M105</f>
        <v>0</v>
      </c>
      <c r="F111" s="221">
        <f t="shared" si="151"/>
        <v>0</v>
      </c>
      <c r="G111" s="221">
        <f>+DATA!N105</f>
        <v>0</v>
      </c>
      <c r="H111" s="221">
        <f t="shared" si="151"/>
        <v>0</v>
      </c>
      <c r="I111" s="221">
        <f>+DATA!O105</f>
        <v>0</v>
      </c>
      <c r="J111" s="221">
        <f t="shared" ref="J111" si="189">+I111*100/$D$98</f>
        <v>0</v>
      </c>
      <c r="K111" s="221">
        <f>+DATA!P105</f>
        <v>13375</v>
      </c>
      <c r="L111" s="267">
        <f t="shared" ref="L111" si="190">+K111*100/$D$98</f>
        <v>0.26342352101233413</v>
      </c>
      <c r="M111" s="221">
        <f t="shared" si="163"/>
        <v>13375</v>
      </c>
      <c r="N111" s="221">
        <f t="shared" ref="N111" si="191">+M111*100/$D$98</f>
        <v>0.26342352101233413</v>
      </c>
      <c r="O111" s="221"/>
      <c r="P111" s="221"/>
      <c r="Q111" s="221"/>
      <c r="R111" s="221"/>
      <c r="S111" s="241"/>
      <c r="T111" s="241"/>
    </row>
    <row r="112" spans="1:20" hidden="1">
      <c r="A112" s="263"/>
      <c r="B112" s="51" t="s">
        <v>178</v>
      </c>
      <c r="C112" s="221">
        <f>+DATA!K106</f>
        <v>0</v>
      </c>
      <c r="D112" s="221">
        <f>+DATA!L106</f>
        <v>0</v>
      </c>
      <c r="E112" s="221">
        <f>+DATA!M106</f>
        <v>0</v>
      </c>
      <c r="F112" s="221">
        <f t="shared" si="151"/>
        <v>0</v>
      </c>
      <c r="G112" s="221">
        <f>+DATA!N106</f>
        <v>0</v>
      </c>
      <c r="H112" s="221">
        <f t="shared" si="151"/>
        <v>0</v>
      </c>
      <c r="I112" s="221">
        <f>+DATA!O106</f>
        <v>0</v>
      </c>
      <c r="J112" s="221">
        <f t="shared" ref="J112" si="192">+I112*100/$D$98</f>
        <v>0</v>
      </c>
      <c r="K112" s="221">
        <f>+DATA!P106</f>
        <v>8645.6</v>
      </c>
      <c r="L112" s="267">
        <f t="shared" ref="L112" si="193">+K112*100/$D$98</f>
        <v>0.17027696398237277</v>
      </c>
      <c r="M112" s="221">
        <f t="shared" si="163"/>
        <v>8645.6</v>
      </c>
      <c r="N112" s="221">
        <f t="shared" ref="N112" si="194">+M112*100/$D$98</f>
        <v>0.17027696398237277</v>
      </c>
      <c r="O112" s="221"/>
      <c r="P112" s="221"/>
      <c r="Q112" s="221"/>
      <c r="R112" s="221"/>
      <c r="S112" s="241"/>
      <c r="T112" s="241"/>
    </row>
    <row r="113" spans="1:20">
      <c r="A113" s="263"/>
      <c r="B113" s="51" t="s">
        <v>188</v>
      </c>
      <c r="C113" s="221">
        <f>+DATA!K107</f>
        <v>16702100</v>
      </c>
      <c r="D113" s="221">
        <f>+DATA!L107</f>
        <v>8351050</v>
      </c>
      <c r="E113" s="221">
        <f>+DATA!M107</f>
        <v>0</v>
      </c>
      <c r="F113" s="221">
        <f>+E113*100/$D$113</f>
        <v>0</v>
      </c>
      <c r="G113" s="221">
        <f>+DATA!N107</f>
        <v>275378.77999999997</v>
      </c>
      <c r="H113" s="221">
        <f>+G113*100/$D$113</f>
        <v>3.2975348010130459</v>
      </c>
      <c r="I113" s="221">
        <f>+DATA!O107</f>
        <v>0</v>
      </c>
      <c r="J113" s="221">
        <f>+I113*100/$D$113</f>
        <v>0</v>
      </c>
      <c r="K113" s="221">
        <f>+DATA!P107</f>
        <v>4629911.84</v>
      </c>
      <c r="L113" s="267">
        <f>+K113*100/$D$113</f>
        <v>55.441074355919312</v>
      </c>
      <c r="M113" s="221">
        <f t="shared" si="163"/>
        <v>4905290.62</v>
      </c>
      <c r="N113" s="221">
        <f>+M113*100/$D$113</f>
        <v>58.738609156932363</v>
      </c>
      <c r="O113" s="221">
        <f>+D113-M113</f>
        <v>3445759.38</v>
      </c>
      <c r="P113" s="221">
        <f t="shared" ref="P113" si="195">+O113*100/$D113</f>
        <v>41.261390843067637</v>
      </c>
      <c r="Q113" s="221">
        <f>+C113-M113</f>
        <v>11796809.379999999</v>
      </c>
      <c r="R113" s="221">
        <f t="shared" si="125"/>
        <v>70.630695421533815</v>
      </c>
      <c r="S113" s="241"/>
      <c r="T113" s="241"/>
    </row>
    <row r="114" spans="1:20" hidden="1">
      <c r="A114" s="263"/>
      <c r="B114" s="51" t="s">
        <v>40</v>
      </c>
      <c r="C114" s="221">
        <f>+DATA!K108</f>
        <v>0</v>
      </c>
      <c r="D114" s="221">
        <f>+DATA!L108</f>
        <v>0</v>
      </c>
      <c r="E114" s="221">
        <f>+DATA!M108</f>
        <v>0</v>
      </c>
      <c r="F114" s="221">
        <f t="shared" ref="F114:H121" si="196">+E114*100/$D$113</f>
        <v>0</v>
      </c>
      <c r="G114" s="221">
        <f>+DATA!N108</f>
        <v>0</v>
      </c>
      <c r="H114" s="221">
        <f t="shared" si="196"/>
        <v>0</v>
      </c>
      <c r="I114" s="221">
        <f>+DATA!O108</f>
        <v>0</v>
      </c>
      <c r="J114" s="221">
        <f t="shared" ref="J114" si="197">+I114*100/$D$113</f>
        <v>0</v>
      </c>
      <c r="K114" s="221">
        <f>+DATA!P108</f>
        <v>3374234.7800000003</v>
      </c>
      <c r="L114" s="267">
        <f t="shared" ref="L114" si="198">+K114*100/$D$113</f>
        <v>40.404916507505042</v>
      </c>
      <c r="M114" s="221">
        <f t="shared" si="163"/>
        <v>3374234.7800000003</v>
      </c>
      <c r="N114" s="221">
        <f t="shared" ref="N114" si="199">+M114*100/$D$113</f>
        <v>40.404916507505042</v>
      </c>
      <c r="O114" s="221"/>
      <c r="P114" s="221"/>
      <c r="Q114" s="221"/>
      <c r="R114" s="221"/>
      <c r="S114" s="241"/>
      <c r="T114" s="241"/>
    </row>
    <row r="115" spans="1:20" hidden="1">
      <c r="A115" s="263"/>
      <c r="B115" s="51" t="s">
        <v>41</v>
      </c>
      <c r="C115" s="221">
        <f>+DATA!K109</f>
        <v>0</v>
      </c>
      <c r="D115" s="221">
        <f>+DATA!L109</f>
        <v>0</v>
      </c>
      <c r="E115" s="221">
        <f>+DATA!M109</f>
        <v>0</v>
      </c>
      <c r="F115" s="221">
        <f t="shared" si="196"/>
        <v>0</v>
      </c>
      <c r="G115" s="221">
        <f>+DATA!N109</f>
        <v>0</v>
      </c>
      <c r="H115" s="221">
        <f t="shared" si="196"/>
        <v>0</v>
      </c>
      <c r="I115" s="221">
        <f>+DATA!O109</f>
        <v>0</v>
      </c>
      <c r="J115" s="221">
        <f t="shared" ref="J115" si="200">+I115*100/$D$113</f>
        <v>0</v>
      </c>
      <c r="K115" s="221">
        <f>+DATA!P109</f>
        <v>109927.6</v>
      </c>
      <c r="L115" s="267">
        <f t="shared" ref="L115" si="201">+K115*100/$D$113</f>
        <v>1.3163326767292736</v>
      </c>
      <c r="M115" s="221">
        <f t="shared" si="163"/>
        <v>109927.6</v>
      </c>
      <c r="N115" s="221">
        <f t="shared" ref="N115" si="202">+M115*100/$D$113</f>
        <v>1.3163326767292736</v>
      </c>
      <c r="O115" s="221"/>
      <c r="P115" s="221"/>
      <c r="Q115" s="221"/>
      <c r="R115" s="221"/>
      <c r="S115" s="241"/>
      <c r="T115" s="241"/>
    </row>
    <row r="116" spans="1:20" hidden="1">
      <c r="A116" s="263"/>
      <c r="B116" s="51" t="s">
        <v>42</v>
      </c>
      <c r="C116" s="221">
        <f>+DATA!K110</f>
        <v>0</v>
      </c>
      <c r="D116" s="221">
        <f>+DATA!L110</f>
        <v>0</v>
      </c>
      <c r="E116" s="221">
        <f>+DATA!M110</f>
        <v>0</v>
      </c>
      <c r="F116" s="221">
        <f t="shared" si="196"/>
        <v>0</v>
      </c>
      <c r="G116" s="221">
        <f>+DATA!N110</f>
        <v>171861.8</v>
      </c>
      <c r="H116" s="221">
        <f t="shared" si="196"/>
        <v>2.0579663635111753</v>
      </c>
      <c r="I116" s="221">
        <f>+DATA!O110</f>
        <v>0</v>
      </c>
      <c r="J116" s="221">
        <f t="shared" ref="J116" si="203">+I116*100/$D$113</f>
        <v>0</v>
      </c>
      <c r="K116" s="221">
        <f>+DATA!P110</f>
        <v>352220.28</v>
      </c>
      <c r="L116" s="267">
        <f t="shared" ref="L116" si="204">+K116*100/$D$113</f>
        <v>4.2176765795917879</v>
      </c>
      <c r="M116" s="221">
        <f t="shared" si="163"/>
        <v>524082.08</v>
      </c>
      <c r="N116" s="221">
        <f t="shared" ref="N116" si="205">+M116*100/$D$113</f>
        <v>6.2756429431029632</v>
      </c>
      <c r="O116" s="221"/>
      <c r="P116" s="221"/>
      <c r="Q116" s="221"/>
      <c r="R116" s="221"/>
      <c r="S116" s="241"/>
      <c r="T116" s="241"/>
    </row>
    <row r="117" spans="1:20" hidden="1">
      <c r="A117" s="263"/>
      <c r="B117" s="51" t="s">
        <v>43</v>
      </c>
      <c r="C117" s="221">
        <f>+DATA!K111</f>
        <v>0</v>
      </c>
      <c r="D117" s="221">
        <f>+DATA!L111</f>
        <v>0</v>
      </c>
      <c r="E117" s="221">
        <f>+DATA!M111</f>
        <v>0</v>
      </c>
      <c r="F117" s="221">
        <f t="shared" si="196"/>
        <v>0</v>
      </c>
      <c r="G117" s="221">
        <f>+DATA!N111</f>
        <v>100293.84999999999</v>
      </c>
      <c r="H117" s="221">
        <f t="shared" si="196"/>
        <v>1.2009729315475299</v>
      </c>
      <c r="I117" s="221">
        <f>+DATA!O111</f>
        <v>0</v>
      </c>
      <c r="J117" s="221">
        <f t="shared" ref="J117" si="206">+I117*100/$D$113</f>
        <v>0</v>
      </c>
      <c r="K117" s="221">
        <f>+DATA!P111</f>
        <v>214115.14999999997</v>
      </c>
      <c r="L117" s="267">
        <f t="shared" ref="L117" si="207">+K117*100/$D$113</f>
        <v>2.5639308829428629</v>
      </c>
      <c r="M117" s="221">
        <f t="shared" si="163"/>
        <v>314408.99999999994</v>
      </c>
      <c r="N117" s="221">
        <f t="shared" ref="N117" si="208">+M117*100/$D$113</f>
        <v>3.7649038144903924</v>
      </c>
      <c r="O117" s="221"/>
      <c r="P117" s="221"/>
      <c r="Q117" s="221"/>
      <c r="R117" s="221"/>
      <c r="S117" s="241"/>
      <c r="T117" s="241"/>
    </row>
    <row r="118" spans="1:20" hidden="1">
      <c r="A118" s="263"/>
      <c r="B118" s="51" t="s">
        <v>44</v>
      </c>
      <c r="C118" s="221">
        <f>+DATA!K112</f>
        <v>0</v>
      </c>
      <c r="D118" s="221">
        <f>+DATA!L112</f>
        <v>0</v>
      </c>
      <c r="E118" s="221">
        <f>+DATA!M112</f>
        <v>0</v>
      </c>
      <c r="F118" s="221">
        <f t="shared" si="196"/>
        <v>0</v>
      </c>
      <c r="G118" s="221">
        <f>+DATA!N112</f>
        <v>0</v>
      </c>
      <c r="H118" s="221">
        <f t="shared" si="196"/>
        <v>0</v>
      </c>
      <c r="I118" s="221">
        <f>+DATA!O112</f>
        <v>0</v>
      </c>
      <c r="J118" s="221">
        <f t="shared" ref="J118" si="209">+I118*100/$D$113</f>
        <v>0</v>
      </c>
      <c r="K118" s="221">
        <f>+DATA!P112</f>
        <v>359525</v>
      </c>
      <c r="L118" s="267">
        <f t="shared" ref="L118" si="210">+K118*100/$D$113</f>
        <v>4.3051472569317628</v>
      </c>
      <c r="M118" s="221">
        <f t="shared" si="163"/>
        <v>359525</v>
      </c>
      <c r="N118" s="221">
        <f t="shared" ref="N118" si="211">+M118*100/$D$113</f>
        <v>4.3051472569317628</v>
      </c>
      <c r="O118" s="221"/>
      <c r="P118" s="221"/>
      <c r="Q118" s="221"/>
      <c r="R118" s="221"/>
      <c r="S118" s="241"/>
      <c r="T118" s="241"/>
    </row>
    <row r="119" spans="1:20" hidden="1">
      <c r="A119" s="263"/>
      <c r="B119" s="51" t="s">
        <v>45</v>
      </c>
      <c r="C119" s="221">
        <f>+DATA!K113</f>
        <v>0</v>
      </c>
      <c r="D119" s="221">
        <f>+DATA!L113</f>
        <v>0</v>
      </c>
      <c r="E119" s="221">
        <f>+DATA!M113</f>
        <v>0</v>
      </c>
      <c r="F119" s="221">
        <f t="shared" si="196"/>
        <v>0</v>
      </c>
      <c r="G119" s="221">
        <f>+DATA!N113</f>
        <v>2475.1999999999998</v>
      </c>
      <c r="H119" s="221">
        <f t="shared" si="196"/>
        <v>2.9639386663952435E-2</v>
      </c>
      <c r="I119" s="221">
        <f>+DATA!O113</f>
        <v>0</v>
      </c>
      <c r="J119" s="221">
        <f t="shared" ref="J119" si="212">+I119*100/$D$113</f>
        <v>0</v>
      </c>
      <c r="K119" s="221">
        <f>+DATA!P113</f>
        <v>19015.719999999998</v>
      </c>
      <c r="L119" s="267">
        <f t="shared" ref="L119" si="213">+K119*100/$D$113</f>
        <v>0.22770454014764607</v>
      </c>
      <c r="M119" s="221">
        <f t="shared" si="163"/>
        <v>21490.92</v>
      </c>
      <c r="N119" s="221">
        <f t="shared" ref="N119" si="214">+M119*100/$D$113</f>
        <v>0.25734392681159857</v>
      </c>
      <c r="O119" s="221"/>
      <c r="P119" s="221"/>
      <c r="Q119" s="221"/>
      <c r="R119" s="221"/>
      <c r="S119" s="241"/>
      <c r="T119" s="241"/>
    </row>
    <row r="120" spans="1:20" hidden="1">
      <c r="A120" s="263"/>
      <c r="B120" s="51" t="s">
        <v>46</v>
      </c>
      <c r="C120" s="221">
        <f>+DATA!K114</f>
        <v>0</v>
      </c>
      <c r="D120" s="221">
        <f>+DATA!L114</f>
        <v>0</v>
      </c>
      <c r="E120" s="221">
        <f>+DATA!M114</f>
        <v>0</v>
      </c>
      <c r="F120" s="221">
        <f t="shared" si="196"/>
        <v>0</v>
      </c>
      <c r="G120" s="221">
        <f>+DATA!N114</f>
        <v>747.93</v>
      </c>
      <c r="H120" s="221">
        <f t="shared" si="196"/>
        <v>8.9561192903886335E-3</v>
      </c>
      <c r="I120" s="221">
        <f>+DATA!O114</f>
        <v>0</v>
      </c>
      <c r="J120" s="221">
        <f t="shared" ref="J120" si="215">+I120*100/$D$113</f>
        <v>0</v>
      </c>
      <c r="K120" s="221">
        <f>+DATA!P114</f>
        <v>200873.31</v>
      </c>
      <c r="L120" s="267">
        <f t="shared" ref="L120" si="216">+K120*100/$D$113</f>
        <v>2.4053659120709372</v>
      </c>
      <c r="M120" s="221">
        <f t="shared" si="163"/>
        <v>201621.24</v>
      </c>
      <c r="N120" s="221">
        <f t="shared" ref="N120" si="217">+M120*100/$D$113</f>
        <v>2.4143220313613258</v>
      </c>
      <c r="O120" s="221"/>
      <c r="P120" s="221"/>
      <c r="Q120" s="221"/>
      <c r="R120" s="221"/>
      <c r="S120" s="241"/>
      <c r="T120" s="241"/>
    </row>
    <row r="121" spans="1:20" hidden="1">
      <c r="A121" s="263"/>
      <c r="B121" s="51" t="s">
        <v>47</v>
      </c>
      <c r="C121" s="221">
        <f>+DATA!K115</f>
        <v>0</v>
      </c>
      <c r="D121" s="221">
        <f>+DATA!L115</f>
        <v>0</v>
      </c>
      <c r="E121" s="221">
        <f>+DATA!M115</f>
        <v>0</v>
      </c>
      <c r="F121" s="221">
        <f t="shared" si="196"/>
        <v>0</v>
      </c>
      <c r="G121" s="221">
        <f>+DATA!N115</f>
        <v>0</v>
      </c>
      <c r="H121" s="221">
        <f t="shared" si="196"/>
        <v>0</v>
      </c>
      <c r="I121" s="221">
        <f>+DATA!O115</f>
        <v>0</v>
      </c>
      <c r="J121" s="221">
        <f t="shared" ref="J121" si="218">+I121*100/$D$113</f>
        <v>0</v>
      </c>
      <c r="K121" s="221">
        <f>+DATA!P115</f>
        <v>0</v>
      </c>
      <c r="L121" s="267">
        <f t="shared" ref="L121" si="219">+K121*100/$D$113</f>
        <v>0</v>
      </c>
      <c r="M121" s="221">
        <f t="shared" si="163"/>
        <v>0</v>
      </c>
      <c r="N121" s="221">
        <f t="shared" ref="N121" si="220">+M121*100/$D$113</f>
        <v>0</v>
      </c>
      <c r="O121" s="221"/>
      <c r="P121" s="221"/>
      <c r="Q121" s="221"/>
      <c r="R121" s="221"/>
      <c r="S121" s="241"/>
      <c r="T121" s="241"/>
    </row>
    <row r="122" spans="1:20" s="28" customFormat="1">
      <c r="A122" s="240">
        <v>20</v>
      </c>
      <c r="B122" s="64" t="s">
        <v>48</v>
      </c>
      <c r="C122" s="223">
        <f>+DATA!K116</f>
        <v>14359500</v>
      </c>
      <c r="D122" s="223">
        <f>+DATA!L116</f>
        <v>6304750</v>
      </c>
      <c r="E122" s="223">
        <f>+DATA!M116</f>
        <v>0</v>
      </c>
      <c r="F122" s="223">
        <f t="shared" si="117"/>
        <v>0</v>
      </c>
      <c r="G122" s="223">
        <f>+DATA!N116</f>
        <v>0</v>
      </c>
      <c r="H122" s="223">
        <f t="shared" si="117"/>
        <v>0</v>
      </c>
      <c r="I122" s="223">
        <f>+DATA!O116</f>
        <v>89600</v>
      </c>
      <c r="J122" s="223">
        <f t="shared" ref="J122" si="221">+I122*100/$D122</f>
        <v>1.4211507196954678</v>
      </c>
      <c r="K122" s="223">
        <f>+DATA!P116</f>
        <v>112374</v>
      </c>
      <c r="L122" s="265">
        <f t="shared" ref="L122" si="222">+K122*100/$D122</f>
        <v>1.782370434989492</v>
      </c>
      <c r="M122" s="223">
        <f t="shared" si="163"/>
        <v>201974</v>
      </c>
      <c r="N122" s="223">
        <f t="shared" ref="N122" si="223">+M122*100/$D122</f>
        <v>3.2035211546849598</v>
      </c>
      <c r="O122" s="223">
        <f t="shared" ref="O122:O130" si="224">+D122-M122</f>
        <v>6102776</v>
      </c>
      <c r="P122" s="223">
        <f t="shared" ref="P122" si="225">+O122*100/$D122</f>
        <v>96.796478845315036</v>
      </c>
      <c r="Q122" s="223">
        <f t="shared" ref="Q122:Q130" si="226">+C122-M122</f>
        <v>14157526</v>
      </c>
      <c r="R122" s="223">
        <f t="shared" si="125"/>
        <v>98.593446847035068</v>
      </c>
      <c r="S122" s="241"/>
      <c r="T122" s="241"/>
    </row>
    <row r="123" spans="1:20">
      <c r="A123" s="263"/>
      <c r="B123" s="51" t="s">
        <v>393</v>
      </c>
      <c r="C123" s="221">
        <f>+DATA!K117</f>
        <v>11873500</v>
      </c>
      <c r="D123" s="221">
        <f>+DATA!L117</f>
        <v>5936750</v>
      </c>
      <c r="E123" s="221">
        <f>+DATA!M117</f>
        <v>0</v>
      </c>
      <c r="F123" s="221">
        <f t="shared" si="117"/>
        <v>0</v>
      </c>
      <c r="G123" s="221">
        <f>+DATA!N117</f>
        <v>0</v>
      </c>
      <c r="H123" s="221">
        <f t="shared" si="117"/>
        <v>0</v>
      </c>
      <c r="I123" s="221">
        <f>+DATA!O117</f>
        <v>0</v>
      </c>
      <c r="J123" s="221">
        <f t="shared" ref="J123" si="227">+I123*100/$D123</f>
        <v>0</v>
      </c>
      <c r="K123" s="221">
        <f>+DATA!P117</f>
        <v>0</v>
      </c>
      <c r="L123" s="267">
        <f t="shared" ref="L123" si="228">+K123*100/$D123</f>
        <v>0</v>
      </c>
      <c r="M123" s="221">
        <f t="shared" si="163"/>
        <v>0</v>
      </c>
      <c r="N123" s="221">
        <f t="shared" ref="N123" si="229">+M123*100/$D123</f>
        <v>0</v>
      </c>
      <c r="O123" s="221">
        <f t="shared" si="224"/>
        <v>5936750</v>
      </c>
      <c r="P123" s="221">
        <f t="shared" ref="P123" si="230">+O123*100/$D123</f>
        <v>100</v>
      </c>
      <c r="Q123" s="221">
        <f t="shared" si="226"/>
        <v>11873500</v>
      </c>
      <c r="R123" s="221">
        <f t="shared" si="125"/>
        <v>100</v>
      </c>
      <c r="S123" s="241"/>
      <c r="T123" s="241"/>
    </row>
    <row r="124" spans="1:20">
      <c r="A124" s="263"/>
      <c r="B124" s="51" t="s">
        <v>394</v>
      </c>
      <c r="C124" s="221">
        <f>+DATA!K118</f>
        <v>636000</v>
      </c>
      <c r="D124" s="221">
        <f>+DATA!L118</f>
        <v>318000</v>
      </c>
      <c r="E124" s="221">
        <f>+DATA!M118</f>
        <v>0</v>
      </c>
      <c r="F124" s="221">
        <f t="shared" si="117"/>
        <v>0</v>
      </c>
      <c r="G124" s="221">
        <f>+DATA!N118</f>
        <v>0</v>
      </c>
      <c r="H124" s="221">
        <f t="shared" si="117"/>
        <v>0</v>
      </c>
      <c r="I124" s="221">
        <f>+DATA!O118</f>
        <v>0</v>
      </c>
      <c r="J124" s="221">
        <f t="shared" ref="J124" si="231">+I124*100/$D124</f>
        <v>0</v>
      </c>
      <c r="K124" s="221">
        <f>+DATA!P118</f>
        <v>112374</v>
      </c>
      <c r="L124" s="267">
        <f t="shared" ref="L124" si="232">+K124*100/$D124</f>
        <v>35.337735849056607</v>
      </c>
      <c r="M124" s="221">
        <f t="shared" si="163"/>
        <v>112374</v>
      </c>
      <c r="N124" s="221">
        <f t="shared" ref="N124" si="233">+M124*100/$D124</f>
        <v>35.337735849056607</v>
      </c>
      <c r="O124" s="221">
        <f t="shared" si="224"/>
        <v>205626</v>
      </c>
      <c r="P124" s="221">
        <f t="shared" ref="P124" si="234">+O124*100/$D124</f>
        <v>64.6622641509434</v>
      </c>
      <c r="Q124" s="221">
        <f t="shared" si="226"/>
        <v>523626</v>
      </c>
      <c r="R124" s="221">
        <f t="shared" si="125"/>
        <v>82.3311320754717</v>
      </c>
      <c r="S124" s="241"/>
      <c r="T124" s="241"/>
    </row>
    <row r="125" spans="1:20" ht="42">
      <c r="A125" s="263"/>
      <c r="B125" s="65" t="s">
        <v>395</v>
      </c>
      <c r="C125" s="221">
        <f>+DATA!K119</f>
        <v>100000</v>
      </c>
      <c r="D125" s="221">
        <f>+DATA!L119</f>
        <v>50000</v>
      </c>
      <c r="E125" s="221">
        <f>+DATA!M119</f>
        <v>0</v>
      </c>
      <c r="F125" s="221">
        <f t="shared" si="117"/>
        <v>0</v>
      </c>
      <c r="G125" s="221">
        <f>+DATA!N119</f>
        <v>0</v>
      </c>
      <c r="H125" s="221">
        <f t="shared" si="117"/>
        <v>0</v>
      </c>
      <c r="I125" s="221">
        <f>+DATA!O119</f>
        <v>89600</v>
      </c>
      <c r="J125" s="221">
        <f t="shared" ref="J125" si="235">+I125*100/$D125</f>
        <v>179.2</v>
      </c>
      <c r="K125" s="221">
        <f>+DATA!P119</f>
        <v>0</v>
      </c>
      <c r="L125" s="267">
        <f t="shared" ref="L125" si="236">+K125*100/$D125</f>
        <v>0</v>
      </c>
      <c r="M125" s="221">
        <f t="shared" si="163"/>
        <v>89600</v>
      </c>
      <c r="N125" s="221">
        <f t="shared" ref="N125" si="237">+M125*100/$D125</f>
        <v>179.2</v>
      </c>
      <c r="O125" s="221">
        <f t="shared" si="224"/>
        <v>-39600</v>
      </c>
      <c r="P125" s="221">
        <f t="shared" ref="P125" si="238">+O125*100/$D125</f>
        <v>-79.2</v>
      </c>
      <c r="Q125" s="221">
        <f t="shared" si="226"/>
        <v>10400</v>
      </c>
      <c r="R125" s="221">
        <f t="shared" si="125"/>
        <v>10.4</v>
      </c>
      <c r="S125" s="241"/>
      <c r="T125" s="241"/>
    </row>
    <row r="126" spans="1:20" ht="42">
      <c r="A126" s="263"/>
      <c r="B126" s="65" t="s">
        <v>396</v>
      </c>
      <c r="C126" s="221">
        <f>+DATA!K120</f>
        <v>250000</v>
      </c>
      <c r="D126" s="221">
        <f>+DATA!L120</f>
        <v>0</v>
      </c>
      <c r="E126" s="221">
        <f>+DATA!M120</f>
        <v>0</v>
      </c>
      <c r="F126" s="221">
        <v>0</v>
      </c>
      <c r="G126" s="221">
        <f>+DATA!N120</f>
        <v>0</v>
      </c>
      <c r="H126" s="221">
        <v>0</v>
      </c>
      <c r="I126" s="221">
        <f>+DATA!O120</f>
        <v>0</v>
      </c>
      <c r="J126" s="221">
        <v>0</v>
      </c>
      <c r="K126" s="221">
        <f>+DATA!P120</f>
        <v>0</v>
      </c>
      <c r="L126" s="267">
        <v>0</v>
      </c>
      <c r="M126" s="221">
        <f t="shared" si="163"/>
        <v>0</v>
      </c>
      <c r="N126" s="221">
        <v>0</v>
      </c>
      <c r="O126" s="221">
        <f t="shared" si="224"/>
        <v>0</v>
      </c>
      <c r="P126" s="221">
        <v>0</v>
      </c>
      <c r="Q126" s="221">
        <f t="shared" si="226"/>
        <v>250000</v>
      </c>
      <c r="R126" s="221">
        <f t="shared" si="125"/>
        <v>100</v>
      </c>
      <c r="S126" s="241"/>
      <c r="T126" s="241"/>
    </row>
    <row r="127" spans="1:20" ht="42">
      <c r="A127" s="263"/>
      <c r="B127" s="65" t="s">
        <v>397</v>
      </c>
      <c r="C127" s="221">
        <f>+DATA!K121</f>
        <v>1500000</v>
      </c>
      <c r="D127" s="221">
        <f>+DATA!L121</f>
        <v>0</v>
      </c>
      <c r="E127" s="221">
        <f>+DATA!M121</f>
        <v>0</v>
      </c>
      <c r="F127" s="221">
        <v>0</v>
      </c>
      <c r="G127" s="221">
        <f>+DATA!N121</f>
        <v>0</v>
      </c>
      <c r="H127" s="221">
        <v>0</v>
      </c>
      <c r="I127" s="221">
        <f>+DATA!O121</f>
        <v>0</v>
      </c>
      <c r="J127" s="221">
        <v>0</v>
      </c>
      <c r="K127" s="221">
        <f>+DATA!P121</f>
        <v>0</v>
      </c>
      <c r="L127" s="267">
        <v>0</v>
      </c>
      <c r="M127" s="221">
        <f t="shared" si="163"/>
        <v>0</v>
      </c>
      <c r="N127" s="221">
        <v>0</v>
      </c>
      <c r="O127" s="221">
        <f t="shared" si="224"/>
        <v>0</v>
      </c>
      <c r="P127" s="221">
        <v>0</v>
      </c>
      <c r="Q127" s="221">
        <f t="shared" si="226"/>
        <v>1500000</v>
      </c>
      <c r="R127" s="221">
        <f t="shared" si="125"/>
        <v>100</v>
      </c>
      <c r="S127" s="241"/>
      <c r="T127" s="241"/>
    </row>
    <row r="128" spans="1:20" s="28" customFormat="1">
      <c r="A128" s="240">
        <v>21</v>
      </c>
      <c r="B128" s="63" t="s">
        <v>54</v>
      </c>
      <c r="C128" s="223">
        <f>+DATA!K122</f>
        <v>11386500</v>
      </c>
      <c r="D128" s="223">
        <f>+DATA!L122</f>
        <v>5036500</v>
      </c>
      <c r="E128" s="223">
        <f>+DATA!M122</f>
        <v>0</v>
      </c>
      <c r="F128" s="223">
        <f t="shared" si="117"/>
        <v>0</v>
      </c>
      <c r="G128" s="223">
        <f>+DATA!N122</f>
        <v>0</v>
      </c>
      <c r="H128" s="223">
        <f t="shared" si="117"/>
        <v>0</v>
      </c>
      <c r="I128" s="223">
        <f>+DATA!O122</f>
        <v>0</v>
      </c>
      <c r="J128" s="223">
        <f t="shared" ref="J128" si="239">+I128*100/$D128</f>
        <v>0</v>
      </c>
      <c r="K128" s="223">
        <f>+DATA!P122</f>
        <v>0</v>
      </c>
      <c r="L128" s="265">
        <f t="shared" ref="L128" si="240">+K128*100/$D128</f>
        <v>0</v>
      </c>
      <c r="M128" s="223">
        <f t="shared" si="163"/>
        <v>0</v>
      </c>
      <c r="N128" s="223">
        <f t="shared" ref="N128" si="241">+M128*100/$D128</f>
        <v>0</v>
      </c>
      <c r="O128" s="223">
        <f t="shared" si="224"/>
        <v>5036500</v>
      </c>
      <c r="P128" s="223">
        <f t="shared" ref="P128" si="242">+O128*100/$D128</f>
        <v>100</v>
      </c>
      <c r="Q128" s="223">
        <f t="shared" si="226"/>
        <v>11386500</v>
      </c>
      <c r="R128" s="223">
        <f t="shared" si="125"/>
        <v>100</v>
      </c>
      <c r="S128" s="241"/>
      <c r="T128" s="241"/>
    </row>
    <row r="129" spans="1:20">
      <c r="A129" s="263"/>
      <c r="B129" s="51" t="s">
        <v>55</v>
      </c>
      <c r="C129" s="221">
        <f>+DATA!K123</f>
        <v>11386500</v>
      </c>
      <c r="D129" s="221">
        <f>+DATA!L123</f>
        <v>5036500</v>
      </c>
      <c r="E129" s="221">
        <f>+DATA!M123</f>
        <v>0</v>
      </c>
      <c r="F129" s="221">
        <f t="shared" si="117"/>
        <v>0</v>
      </c>
      <c r="G129" s="221">
        <f>+DATA!N123</f>
        <v>0</v>
      </c>
      <c r="H129" s="221">
        <f t="shared" si="117"/>
        <v>0</v>
      </c>
      <c r="I129" s="221">
        <f>+DATA!O123</f>
        <v>0</v>
      </c>
      <c r="J129" s="221">
        <f t="shared" ref="J129" si="243">+I129*100/$D129</f>
        <v>0</v>
      </c>
      <c r="K129" s="221">
        <f>+DATA!P123</f>
        <v>0</v>
      </c>
      <c r="L129" s="267">
        <f t="shared" ref="L129" si="244">+K129*100/$D129</f>
        <v>0</v>
      </c>
      <c r="M129" s="221">
        <f t="shared" si="163"/>
        <v>0</v>
      </c>
      <c r="N129" s="221">
        <f t="shared" ref="N129" si="245">+M129*100/$D129</f>
        <v>0</v>
      </c>
      <c r="O129" s="221">
        <f t="shared" si="224"/>
        <v>5036500</v>
      </c>
      <c r="P129" s="221">
        <f t="shared" ref="P129" si="246">+O129*100/$D129</f>
        <v>100</v>
      </c>
      <c r="Q129" s="221">
        <f t="shared" si="226"/>
        <v>11386500</v>
      </c>
      <c r="R129" s="221">
        <f t="shared" si="125"/>
        <v>100</v>
      </c>
      <c r="S129" s="241"/>
      <c r="T129" s="241"/>
    </row>
    <row r="130" spans="1:20" s="28" customFormat="1">
      <c r="A130" s="240">
        <v>22</v>
      </c>
      <c r="B130" s="63" t="s">
        <v>94</v>
      </c>
      <c r="C130" s="223">
        <f>+DATA!K124</f>
        <v>15722206</v>
      </c>
      <c r="D130" s="223">
        <f>+DATA!L124</f>
        <v>7002061</v>
      </c>
      <c r="E130" s="223">
        <f>+DATA!M124</f>
        <v>0</v>
      </c>
      <c r="F130" s="223">
        <f t="shared" si="117"/>
        <v>0</v>
      </c>
      <c r="G130" s="223">
        <f>+DATA!N124</f>
        <v>0</v>
      </c>
      <c r="H130" s="223">
        <f t="shared" si="117"/>
        <v>0</v>
      </c>
      <c r="I130" s="223">
        <f>+DATA!O124</f>
        <v>0</v>
      </c>
      <c r="J130" s="223">
        <f t="shared" ref="J130:J131" si="247">+I130*100/$D130</f>
        <v>0</v>
      </c>
      <c r="K130" s="223">
        <f>+DATA!P124</f>
        <v>0</v>
      </c>
      <c r="L130" s="265">
        <f t="shared" ref="L130:L131" si="248">+K130*100/$D130</f>
        <v>0</v>
      </c>
      <c r="M130" s="223">
        <f t="shared" si="163"/>
        <v>0</v>
      </c>
      <c r="N130" s="223">
        <f t="shared" ref="N130" si="249">+M130*100/$D130</f>
        <v>0</v>
      </c>
      <c r="O130" s="223">
        <f t="shared" si="224"/>
        <v>7002061</v>
      </c>
      <c r="P130" s="223">
        <f t="shared" ref="P130" si="250">+O130*100/$D130</f>
        <v>100</v>
      </c>
      <c r="Q130" s="223">
        <f t="shared" si="226"/>
        <v>15722206</v>
      </c>
      <c r="R130" s="223">
        <f t="shared" si="125"/>
        <v>100</v>
      </c>
      <c r="S130" s="241"/>
      <c r="T130" s="241"/>
    </row>
    <row r="131" spans="1:20" s="28" customFormat="1">
      <c r="A131" s="240"/>
      <c r="B131" s="257" t="s">
        <v>187</v>
      </c>
      <c r="C131" s="223">
        <f>+C76+C42+C64+C82+C39+C48+C67+C73+C70+C45+C58+C85+C51+C88+C33+C79+C61+C36+C91+C122+C128+C130</f>
        <v>163708080</v>
      </c>
      <c r="D131" s="223">
        <f>+D76+D42+D64+D82+D39+D48+D67+D73+D70+D45+D58+D85+D51+D88+D33+D79+D61+D36+D91+D122+D128+D130</f>
        <v>81417380</v>
      </c>
      <c r="E131" s="223">
        <f>+E76+E42+E64+E82+E39+E48+E67+E73+E70+E45+E58+E85+E51+E88+E33+E79+E61+E36+E91+E122+E128+E130</f>
        <v>302249</v>
      </c>
      <c r="F131" s="223">
        <f t="shared" si="117"/>
        <v>0.3712340043366662</v>
      </c>
      <c r="G131" s="223">
        <f>+G76+G42+G64+G82+G39+G48+G67+G73+G70+G45+G58+G85+G51+G88+G33+G79+G61+G36+G91+G122+G128+G130</f>
        <v>1024855.53</v>
      </c>
      <c r="H131" s="223">
        <f t="shared" si="117"/>
        <v>1.2587675137667167</v>
      </c>
      <c r="I131" s="223">
        <f>+I76+I42+I64+I82+I39+I48+I67+I73+I70+I45+I58+I85+I51+I88+I33+I79+I61+I36+I91+I122+I128+I130</f>
        <v>937010.85000000009</v>
      </c>
      <c r="J131" s="223">
        <f t="shared" si="247"/>
        <v>1.1508732533520487</v>
      </c>
      <c r="K131" s="223">
        <f>+K76+K42+K64+K82+K39+K48+K67+K73+K70+K45+K58+K85+K51+K88+K33+K79+K61+K36+K91+K122+K128+K130</f>
        <v>24309971.240000002</v>
      </c>
      <c r="L131" s="265">
        <f t="shared" si="248"/>
        <v>29.858454349673252</v>
      </c>
      <c r="M131" s="223">
        <f>+M76+M42+M64+M82+M39+M48+M67+M73+M70+M45+M58+M85+M51+M88+M33+M79+M61+M36+M91+M122+M128+M130</f>
        <v>26574086.619999997</v>
      </c>
      <c r="N131" s="223">
        <f t="shared" ref="N131" si="251">+M131*100/$D131</f>
        <v>32.639329121128675</v>
      </c>
      <c r="O131" s="223">
        <f>+O76+O42+O64+O82+O39+O48+O67+O73+O70+O45+O58+O85+O52+O55+O88+O33+O79+O61+O36+O91+O122+O128+O130</f>
        <v>54843293.379999995</v>
      </c>
      <c r="P131" s="223">
        <f t="shared" ref="P131" si="252">+O131*100/$D131</f>
        <v>67.360670878871318</v>
      </c>
      <c r="Q131" s="223">
        <f>+Q76+Q42+Q64+Q82+Q39+Q48+Q67+Q73+Q70+Q45+Q58+Q85+Q52+Q55+Q88+Q33+Q79+Q61+Q36+Q91+Q122+Q128+Q130</f>
        <v>137133993.38000003</v>
      </c>
      <c r="R131" s="223">
        <f t="shared" si="125"/>
        <v>83.767394608745036</v>
      </c>
      <c r="S131" s="241"/>
      <c r="T131" s="241"/>
    </row>
    <row r="132" spans="1:20">
      <c r="A132" s="1083" t="s">
        <v>182</v>
      </c>
      <c r="B132" s="1083"/>
      <c r="C132" s="221"/>
      <c r="D132" s="221"/>
      <c r="E132" s="221"/>
      <c r="F132" s="221"/>
      <c r="G132" s="221"/>
      <c r="H132" s="221"/>
      <c r="I132" s="221"/>
      <c r="J132" s="221"/>
      <c r="K132" s="221"/>
      <c r="L132" s="267"/>
      <c r="M132" s="221"/>
      <c r="N132" s="221"/>
      <c r="O132" s="221"/>
      <c r="P132" s="221"/>
      <c r="Q132" s="221"/>
      <c r="R132" s="221"/>
      <c r="S132" s="241"/>
      <c r="T132" s="241"/>
    </row>
    <row r="133" spans="1:20">
      <c r="A133" s="240">
        <v>1</v>
      </c>
      <c r="B133" s="63" t="s">
        <v>98</v>
      </c>
      <c r="C133" s="221">
        <f>+DATA!K127</f>
        <v>14024030</v>
      </c>
      <c r="D133" s="221">
        <f>+DATA!L127</f>
        <v>7012015</v>
      </c>
      <c r="E133" s="221">
        <f>+DATA!M127</f>
        <v>0</v>
      </c>
      <c r="F133" s="221">
        <f t="shared" si="117"/>
        <v>0</v>
      </c>
      <c r="G133" s="221">
        <f>+DATA!N127</f>
        <v>509729.58999999997</v>
      </c>
      <c r="H133" s="221">
        <f t="shared" si="117"/>
        <v>7.2693739246136806</v>
      </c>
      <c r="I133" s="221">
        <f>+DATA!O127</f>
        <v>85600</v>
      </c>
      <c r="J133" s="221">
        <f t="shared" ref="J133" si="253">+I133*100/$D133</f>
        <v>1.2207617924376943</v>
      </c>
      <c r="K133" s="221">
        <f>+DATA!P127</f>
        <v>1209932.1500000001</v>
      </c>
      <c r="L133" s="267">
        <f t="shared" ref="L133" si="254">+K133*100/$D133</f>
        <v>17.255127805630767</v>
      </c>
      <c r="M133" s="221">
        <f>+E133+G133+I133+K133</f>
        <v>1805261.7400000002</v>
      </c>
      <c r="N133" s="221">
        <f t="shared" ref="N133" si="255">+M133*100/$D133</f>
        <v>25.745263522682144</v>
      </c>
      <c r="O133" s="221">
        <f>+D133-M133</f>
        <v>5206753.26</v>
      </c>
      <c r="P133" s="221">
        <f t="shared" ref="P133" si="256">+O133*100/$D133</f>
        <v>74.254736477317863</v>
      </c>
      <c r="Q133" s="221">
        <f>+C133-M133</f>
        <v>12218768.26</v>
      </c>
      <c r="R133" s="221">
        <f t="shared" si="125"/>
        <v>87.127368238658931</v>
      </c>
      <c r="S133" s="241"/>
      <c r="T133" s="241"/>
    </row>
    <row r="134" spans="1:20" hidden="1">
      <c r="A134" s="240"/>
      <c r="B134" s="51" t="s">
        <v>75</v>
      </c>
      <c r="C134" s="221">
        <f>+DATA!K128</f>
        <v>14024030</v>
      </c>
      <c r="D134" s="221">
        <f>+DATA!L128</f>
        <v>7012015</v>
      </c>
      <c r="E134" s="221">
        <f>+DATA!M128</f>
        <v>0</v>
      </c>
      <c r="F134" s="221">
        <f t="shared" si="117"/>
        <v>0</v>
      </c>
      <c r="G134" s="221">
        <f>+DATA!N128</f>
        <v>509729.58999999997</v>
      </c>
      <c r="H134" s="221">
        <f t="shared" si="117"/>
        <v>7.2693739246136806</v>
      </c>
      <c r="I134" s="221">
        <f>+DATA!O128</f>
        <v>85600</v>
      </c>
      <c r="J134" s="221">
        <f t="shared" ref="J134" si="257">+I134*100/$D134</f>
        <v>1.2207617924376943</v>
      </c>
      <c r="K134" s="221">
        <f>+DATA!P128</f>
        <v>1209932.1500000001</v>
      </c>
      <c r="L134" s="267">
        <f t="shared" ref="L134" si="258">+K134*100/$D134</f>
        <v>17.255127805630767</v>
      </c>
      <c r="M134" s="221">
        <f>+E134+G134+I134+K134</f>
        <v>1805261.7400000002</v>
      </c>
      <c r="N134" s="221">
        <f t="shared" ref="N134" si="259">+M134*100/$D134</f>
        <v>25.745263522682144</v>
      </c>
      <c r="O134" s="221">
        <f>+D134-M134</f>
        <v>5206753.26</v>
      </c>
      <c r="P134" s="221">
        <f t="shared" ref="P134" si="260">+O134*100/$D134</f>
        <v>74.254736477317863</v>
      </c>
      <c r="Q134" s="221">
        <f>+C134-M134</f>
        <v>12218768.26</v>
      </c>
      <c r="R134" s="221">
        <f t="shared" si="125"/>
        <v>87.127368238658931</v>
      </c>
      <c r="S134" s="241"/>
      <c r="T134" s="241"/>
    </row>
    <row r="135" spans="1:20" hidden="1">
      <c r="A135" s="240"/>
      <c r="B135" s="51" t="s">
        <v>76</v>
      </c>
      <c r="C135" s="221">
        <f>+DATA!K129</f>
        <v>0</v>
      </c>
      <c r="D135" s="221">
        <f>+DATA!L129</f>
        <v>0</v>
      </c>
      <c r="E135" s="221">
        <f>+DATA!M129</f>
        <v>0</v>
      </c>
      <c r="F135" s="221" t="e">
        <f t="shared" si="117"/>
        <v>#DIV/0!</v>
      </c>
      <c r="G135" s="221">
        <f>+DATA!N129</f>
        <v>0</v>
      </c>
      <c r="H135" s="221" t="e">
        <f t="shared" si="117"/>
        <v>#DIV/0!</v>
      </c>
      <c r="I135" s="221">
        <f>+DATA!O129</f>
        <v>0</v>
      </c>
      <c r="J135" s="221" t="e">
        <f t="shared" ref="J135" si="261">+I135*100/$D135</f>
        <v>#DIV/0!</v>
      </c>
      <c r="K135" s="221">
        <f>+DATA!P129</f>
        <v>0</v>
      </c>
      <c r="L135" s="267" t="e">
        <f t="shared" ref="L135" si="262">+K135*100/$D135</f>
        <v>#DIV/0!</v>
      </c>
      <c r="M135" s="221">
        <f>+E135+G135+I135+K135</f>
        <v>0</v>
      </c>
      <c r="N135" s="221" t="e">
        <f t="shared" ref="N135" si="263">+M135*100/$D135</f>
        <v>#DIV/0!</v>
      </c>
      <c r="O135" s="221">
        <f>+D135-M135</f>
        <v>0</v>
      </c>
      <c r="P135" s="221" t="e">
        <f t="shared" ref="P135" si="264">+O135*100/$D135</f>
        <v>#DIV/0!</v>
      </c>
      <c r="Q135" s="221">
        <f>+C135-M135</f>
        <v>0</v>
      </c>
      <c r="R135" s="221" t="e">
        <f t="shared" si="125"/>
        <v>#DIV/0!</v>
      </c>
      <c r="S135" s="241"/>
      <c r="T135" s="241"/>
    </row>
    <row r="136" spans="1:20">
      <c r="A136" s="240">
        <v>2</v>
      </c>
      <c r="B136" s="63" t="s">
        <v>94</v>
      </c>
      <c r="C136" s="221">
        <f>+DATA!K130</f>
        <v>1045370</v>
      </c>
      <c r="D136" s="221">
        <f>+DATA!L130</f>
        <v>522685</v>
      </c>
      <c r="E136" s="221">
        <f>+DATA!M130</f>
        <v>0</v>
      </c>
      <c r="F136" s="221">
        <f t="shared" si="117"/>
        <v>0</v>
      </c>
      <c r="G136" s="221">
        <f>+DATA!N130</f>
        <v>0</v>
      </c>
      <c r="H136" s="221">
        <f t="shared" si="117"/>
        <v>0</v>
      </c>
      <c r="I136" s="221">
        <f>+DATA!O130</f>
        <v>0</v>
      </c>
      <c r="J136" s="221">
        <f t="shared" ref="J136" si="265">+I136*100/$D136</f>
        <v>0</v>
      </c>
      <c r="K136" s="221">
        <f>+DATA!P130</f>
        <v>0</v>
      </c>
      <c r="L136" s="267">
        <f t="shared" ref="L136" si="266">+K136*100/$D136</f>
        <v>0</v>
      </c>
      <c r="M136" s="221">
        <f>+E136+G136+I136+K136</f>
        <v>0</v>
      </c>
      <c r="N136" s="221">
        <f t="shared" ref="N136" si="267">+M136*100/$D136</f>
        <v>0</v>
      </c>
      <c r="O136" s="221">
        <f>+D136-M136</f>
        <v>522685</v>
      </c>
      <c r="P136" s="221">
        <f t="shared" ref="P136" si="268">+O136*100/$D136</f>
        <v>100</v>
      </c>
      <c r="Q136" s="221">
        <f>+C136-M136</f>
        <v>1045370</v>
      </c>
      <c r="R136" s="221">
        <f t="shared" si="125"/>
        <v>100</v>
      </c>
      <c r="S136" s="241"/>
      <c r="T136" s="241"/>
    </row>
    <row r="137" spans="1:20" s="28" customFormat="1">
      <c r="A137" s="240"/>
      <c r="B137" s="257" t="s">
        <v>186</v>
      </c>
      <c r="C137" s="223">
        <f>+C133+C136</f>
        <v>15069400</v>
      </c>
      <c r="D137" s="223">
        <f>+D133+D136</f>
        <v>7534700</v>
      </c>
      <c r="E137" s="223">
        <f>+E133+E136</f>
        <v>0</v>
      </c>
      <c r="F137" s="223">
        <f t="shared" si="117"/>
        <v>0</v>
      </c>
      <c r="G137" s="223">
        <f>+G133+G136</f>
        <v>509729.58999999997</v>
      </c>
      <c r="H137" s="223">
        <f t="shared" si="117"/>
        <v>6.7650946952101609</v>
      </c>
      <c r="I137" s="223">
        <f>+I133+I136</f>
        <v>85600</v>
      </c>
      <c r="J137" s="223">
        <f t="shared" ref="J137" si="269">+I137*100/$D137</f>
        <v>1.1360770833609832</v>
      </c>
      <c r="K137" s="223">
        <f>+K133+K136</f>
        <v>1209932.1500000001</v>
      </c>
      <c r="L137" s="265">
        <f t="shared" ref="L137" si="270">+K137*100/$D137</f>
        <v>16.058133037811725</v>
      </c>
      <c r="M137" s="223">
        <f>+M133+M136</f>
        <v>1805261.7400000002</v>
      </c>
      <c r="N137" s="223">
        <f t="shared" ref="N137" si="271">+M137*100/$D137</f>
        <v>23.959304816382872</v>
      </c>
      <c r="O137" s="223">
        <f>+O133+O136</f>
        <v>5729438.2599999998</v>
      </c>
      <c r="P137" s="223">
        <f t="shared" ref="P137" si="272">+O137*100/$D137</f>
        <v>76.040695183617132</v>
      </c>
      <c r="Q137" s="223">
        <f>+Q133+Q136</f>
        <v>13264138.26</v>
      </c>
      <c r="R137" s="223">
        <f t="shared" si="125"/>
        <v>88.020347591808559</v>
      </c>
      <c r="S137" s="241"/>
      <c r="T137" s="241"/>
    </row>
    <row r="138" spans="1:20" ht="18.75" customHeight="1">
      <c r="A138" s="1083" t="s">
        <v>181</v>
      </c>
      <c r="B138" s="1083"/>
      <c r="C138" s="263"/>
      <c r="D138" s="263"/>
      <c r="E138" s="263"/>
      <c r="F138" s="221"/>
      <c r="G138" s="263"/>
      <c r="H138" s="221"/>
      <c r="I138" s="263"/>
      <c r="J138" s="221"/>
      <c r="K138" s="263"/>
      <c r="L138" s="267"/>
      <c r="M138" s="221"/>
      <c r="N138" s="221"/>
      <c r="O138" s="221"/>
      <c r="P138" s="221"/>
      <c r="Q138" s="221"/>
      <c r="R138" s="221"/>
      <c r="S138" s="241"/>
      <c r="T138" s="241"/>
    </row>
    <row r="139" spans="1:20" s="28" customFormat="1">
      <c r="A139" s="240">
        <v>1</v>
      </c>
      <c r="B139" s="63" t="s">
        <v>90</v>
      </c>
      <c r="C139" s="223">
        <f>+DATA!K136</f>
        <v>7762550</v>
      </c>
      <c r="D139" s="223">
        <f>+DATA!L136</f>
        <v>3272150</v>
      </c>
      <c r="E139" s="223">
        <f>+DATA!M136</f>
        <v>0</v>
      </c>
      <c r="F139" s="223">
        <f>+E139*100/$D139</f>
        <v>0</v>
      </c>
      <c r="G139" s="223">
        <f>+DATA!N136</f>
        <v>0</v>
      </c>
      <c r="H139" s="223">
        <f>+G139*100/$D139</f>
        <v>0</v>
      </c>
      <c r="I139" s="223">
        <f>+DATA!O136</f>
        <v>0</v>
      </c>
      <c r="J139" s="223">
        <f>+I139*100/$D139</f>
        <v>0</v>
      </c>
      <c r="K139" s="223">
        <f>+DATA!P136</f>
        <v>587980</v>
      </c>
      <c r="L139" s="265">
        <f>+K139*100/$D139</f>
        <v>17.969225127209938</v>
      </c>
      <c r="M139" s="223">
        <f>+E139+G139+I139+K139</f>
        <v>587980</v>
      </c>
      <c r="N139" s="223">
        <f>+M139*100/$D139</f>
        <v>17.969225127209938</v>
      </c>
      <c r="O139" s="223">
        <f>+D139-M139</f>
        <v>2684170</v>
      </c>
      <c r="P139" s="223">
        <f>+O139*100/$D139</f>
        <v>82.030774872790062</v>
      </c>
      <c r="Q139" s="223">
        <f>+C139-M139</f>
        <v>7174570</v>
      </c>
      <c r="R139" s="223">
        <f>+Q139*100/C139</f>
        <v>92.425427211418935</v>
      </c>
      <c r="S139" s="241"/>
      <c r="T139" s="241"/>
    </row>
    <row r="140" spans="1:20" s="28" customFormat="1">
      <c r="A140" s="240">
        <v>2</v>
      </c>
      <c r="B140" s="63" t="s">
        <v>85</v>
      </c>
      <c r="C140" s="223">
        <f>+DATA!K134</f>
        <v>34098900</v>
      </c>
      <c r="D140" s="223">
        <f>+DATA!L134</f>
        <v>17049450</v>
      </c>
      <c r="E140" s="223">
        <f>+DATA!M134</f>
        <v>0</v>
      </c>
      <c r="F140" s="223">
        <f>+E140*100/$D140</f>
        <v>0</v>
      </c>
      <c r="G140" s="223">
        <f>+DATA!N134</f>
        <v>65700</v>
      </c>
      <c r="H140" s="223">
        <f>+G140*100/$D140</f>
        <v>0.38534967403640585</v>
      </c>
      <c r="I140" s="223">
        <f>+DATA!O134</f>
        <v>132680</v>
      </c>
      <c r="J140" s="223">
        <f>+I140*100/$D140</f>
        <v>0.7782069216309031</v>
      </c>
      <c r="K140" s="223">
        <f>+DATA!P134</f>
        <v>1394277.0299999998</v>
      </c>
      <c r="L140" s="265">
        <f>+K140*100/$D140</f>
        <v>8.1778416899078845</v>
      </c>
      <c r="M140" s="223">
        <f>+E140+G140+I140+K140</f>
        <v>1592657.0299999998</v>
      </c>
      <c r="N140" s="223">
        <f>+M140*100/$D140</f>
        <v>9.3413982855751936</v>
      </c>
      <c r="O140" s="223">
        <f>+D140-M140</f>
        <v>15456792.970000001</v>
      </c>
      <c r="P140" s="223">
        <f>+O140*100/$D140</f>
        <v>90.658601714424805</v>
      </c>
      <c r="Q140" s="223">
        <f>+C140-M140</f>
        <v>32506242.969999999</v>
      </c>
      <c r="R140" s="223">
        <f>+Q140*100/C140</f>
        <v>95.329300857212402</v>
      </c>
      <c r="S140" s="241"/>
      <c r="T140" s="241"/>
    </row>
    <row r="141" spans="1:20" s="28" customFormat="1">
      <c r="A141" s="240">
        <v>3</v>
      </c>
      <c r="B141" s="63" t="s">
        <v>92</v>
      </c>
      <c r="C141" s="223">
        <f>+DATA!K137</f>
        <v>17211650</v>
      </c>
      <c r="D141" s="223">
        <f>+DATA!L137</f>
        <v>9014900</v>
      </c>
      <c r="E141" s="223">
        <f>+DATA!M137</f>
        <v>0</v>
      </c>
      <c r="F141" s="223">
        <f>+E141*100/$D141</f>
        <v>0</v>
      </c>
      <c r="G141" s="223">
        <f>+DATA!N137</f>
        <v>0</v>
      </c>
      <c r="H141" s="223">
        <f>+G141*100/$D141</f>
        <v>0</v>
      </c>
      <c r="I141" s="223">
        <f>+DATA!O137</f>
        <v>0</v>
      </c>
      <c r="J141" s="223">
        <f>+I141*100/$D141</f>
        <v>0</v>
      </c>
      <c r="K141" s="223">
        <f>+DATA!P137</f>
        <v>378920</v>
      </c>
      <c r="L141" s="265">
        <f>+K141*100/$D141</f>
        <v>4.2032634860065006</v>
      </c>
      <c r="M141" s="223">
        <f>+E141+G141+I141+K141</f>
        <v>378920</v>
      </c>
      <c r="N141" s="223">
        <f>+M141*100/$D141</f>
        <v>4.2032634860065006</v>
      </c>
      <c r="O141" s="223">
        <f>+D141-M141</f>
        <v>8635980</v>
      </c>
      <c r="P141" s="223">
        <f>+O141*100/$D141</f>
        <v>95.796736513993494</v>
      </c>
      <c r="Q141" s="223">
        <f>+C141-M141</f>
        <v>16832730</v>
      </c>
      <c r="R141" s="223">
        <f>+Q141*100/C141</f>
        <v>97.798467898196861</v>
      </c>
      <c r="S141" s="241"/>
      <c r="T141" s="241"/>
    </row>
    <row r="142" spans="1:20" s="28" customFormat="1">
      <c r="A142" s="240">
        <v>4</v>
      </c>
      <c r="B142" s="63" t="s">
        <v>82</v>
      </c>
      <c r="C142" s="223">
        <f>+DATA!K133</f>
        <v>10406600</v>
      </c>
      <c r="D142" s="223">
        <f>+DATA!L133</f>
        <v>5203300</v>
      </c>
      <c r="E142" s="223">
        <f>+DATA!M133</f>
        <v>0</v>
      </c>
      <c r="F142" s="223">
        <f t="shared" si="117"/>
        <v>0</v>
      </c>
      <c r="G142" s="223">
        <f>+DATA!N133</f>
        <v>0</v>
      </c>
      <c r="H142" s="223">
        <f t="shared" si="117"/>
        <v>0</v>
      </c>
      <c r="I142" s="223">
        <f>+DATA!O133</f>
        <v>0</v>
      </c>
      <c r="J142" s="223">
        <f t="shared" ref="J142" si="273">+I142*100/$D142</f>
        <v>0</v>
      </c>
      <c r="K142" s="223">
        <f>+DATA!P133</f>
        <v>13000</v>
      </c>
      <c r="L142" s="265">
        <f t="shared" ref="L142" si="274">+K142*100/$D142</f>
        <v>0.24984144677416256</v>
      </c>
      <c r="M142" s="223">
        <f>+E142+G142+I142+K142</f>
        <v>13000</v>
      </c>
      <c r="N142" s="223">
        <f t="shared" ref="N142" si="275">+M142*100/$D142</f>
        <v>0.24984144677416256</v>
      </c>
      <c r="O142" s="223">
        <f>+D142-M142</f>
        <v>5190300</v>
      </c>
      <c r="P142" s="223">
        <f t="shared" ref="P142" si="276">+O142*100/$D142</f>
        <v>99.75015855322583</v>
      </c>
      <c r="Q142" s="223">
        <f>+C142-M142</f>
        <v>10393600</v>
      </c>
      <c r="R142" s="223">
        <f t="shared" si="125"/>
        <v>99.875079276612922</v>
      </c>
      <c r="S142" s="241"/>
      <c r="T142" s="241"/>
    </row>
    <row r="143" spans="1:20" s="28" customFormat="1">
      <c r="A143" s="240">
        <v>5</v>
      </c>
      <c r="B143" s="63" t="s">
        <v>78</v>
      </c>
      <c r="C143" s="223">
        <f>+DATA!K135</f>
        <v>1000000</v>
      </c>
      <c r="D143" s="223">
        <f>+DATA!L135</f>
        <v>500000</v>
      </c>
      <c r="E143" s="223">
        <f>+DATA!M135</f>
        <v>0</v>
      </c>
      <c r="F143" s="223">
        <f t="shared" ref="F143:H145" si="277">+E143*100/$D143</f>
        <v>0</v>
      </c>
      <c r="G143" s="223">
        <f>+DATA!N135</f>
        <v>0</v>
      </c>
      <c r="H143" s="223">
        <f t="shared" si="277"/>
        <v>0</v>
      </c>
      <c r="I143" s="223">
        <f>+DATA!O135</f>
        <v>0</v>
      </c>
      <c r="J143" s="223">
        <f t="shared" ref="J143" si="278">+I143*100/$D143</f>
        <v>0</v>
      </c>
      <c r="K143" s="223">
        <f>+DATA!P135</f>
        <v>0</v>
      </c>
      <c r="L143" s="265">
        <f t="shared" ref="L143" si="279">+K143*100/$D143</f>
        <v>0</v>
      </c>
      <c r="M143" s="223">
        <f>+E143+G143+I143+K143</f>
        <v>0</v>
      </c>
      <c r="N143" s="223">
        <f t="shared" ref="N143" si="280">+M143*100/$D143</f>
        <v>0</v>
      </c>
      <c r="O143" s="223">
        <f>+D143-M143</f>
        <v>500000</v>
      </c>
      <c r="P143" s="223">
        <f t="shared" ref="P143" si="281">+O143*100/$D143</f>
        <v>100</v>
      </c>
      <c r="Q143" s="223">
        <f>+C143-M143</f>
        <v>1000000</v>
      </c>
      <c r="R143" s="223">
        <f t="shared" ref="R143:R145" si="282">+Q143*100/C143</f>
        <v>100</v>
      </c>
      <c r="S143" s="241"/>
      <c r="T143" s="241"/>
    </row>
    <row r="144" spans="1:20" s="28" customFormat="1">
      <c r="A144" s="240"/>
      <c r="B144" s="257" t="s">
        <v>185</v>
      </c>
      <c r="C144" s="223">
        <f>+C142+C140+C143+C139+C141</f>
        <v>70479700</v>
      </c>
      <c r="D144" s="223">
        <f>+D142+D140+D143+D139+D141</f>
        <v>35039800</v>
      </c>
      <c r="E144" s="223">
        <f>+E142+E140+E143+E139+E141</f>
        <v>0</v>
      </c>
      <c r="F144" s="223">
        <f t="shared" si="277"/>
        <v>0</v>
      </c>
      <c r="G144" s="223">
        <f>+G142+G140+G143+G139+G141</f>
        <v>65700</v>
      </c>
      <c r="H144" s="223">
        <f t="shared" si="277"/>
        <v>0.18750107021158796</v>
      </c>
      <c r="I144" s="223">
        <f>+I142+I140+I143+I139+I141</f>
        <v>132680</v>
      </c>
      <c r="J144" s="223">
        <f t="shared" ref="J144" si="283">+I144*100/$D144</f>
        <v>0.37865512931009881</v>
      </c>
      <c r="K144" s="223">
        <f>+K142+K140+K143+K139+K141</f>
        <v>2374177.0299999998</v>
      </c>
      <c r="L144" s="265">
        <f t="shared" ref="L144" si="284">+K144*100/$D144</f>
        <v>6.7756580517012077</v>
      </c>
      <c r="M144" s="223">
        <f>+M142+M140+M143+M139+M141</f>
        <v>2572557.0299999998</v>
      </c>
      <c r="N144" s="223">
        <f t="shared" ref="N144" si="285">+M144*100/$D144</f>
        <v>7.3418142512228943</v>
      </c>
      <c r="O144" s="223">
        <f>+O142+O140+O143+O139+O141</f>
        <v>32467242.969999999</v>
      </c>
      <c r="P144" s="223">
        <f t="shared" ref="P144" si="286">+O144*100/$D144</f>
        <v>92.6581857487771</v>
      </c>
      <c r="Q144" s="223">
        <f>+Q142+Q140+Q143+Q139+Q141</f>
        <v>67907142.969999999</v>
      </c>
      <c r="R144" s="223">
        <f t="shared" si="282"/>
        <v>96.349931923660293</v>
      </c>
      <c r="S144" s="241"/>
      <c r="T144" s="241"/>
    </row>
    <row r="145" spans="1:20" s="28" customFormat="1">
      <c r="A145" s="240"/>
      <c r="B145" s="257" t="s">
        <v>11</v>
      </c>
      <c r="C145" s="223">
        <f>+C31+C131+C137+C144</f>
        <v>273686780</v>
      </c>
      <c r="D145" s="223">
        <f>+D31+D131+D137+D144</f>
        <v>136206680</v>
      </c>
      <c r="E145" s="223">
        <f>+E31+E131+E137+E144</f>
        <v>302249</v>
      </c>
      <c r="F145" s="223">
        <f t="shared" si="277"/>
        <v>0.22190468191427909</v>
      </c>
      <c r="G145" s="223">
        <f>+G31+G131+G137+G144</f>
        <v>1629085.12</v>
      </c>
      <c r="H145" s="223">
        <f t="shared" si="277"/>
        <v>1.1960390782595978</v>
      </c>
      <c r="I145" s="223">
        <f>+I31+I131+I137+I144</f>
        <v>1155290.8500000001</v>
      </c>
      <c r="J145" s="223">
        <f t="shared" ref="J145" si="287">+I145*100/$D145</f>
        <v>0.84818956750138841</v>
      </c>
      <c r="K145" s="223">
        <f>+K31+K131+K137+K144</f>
        <v>33280803.640000001</v>
      </c>
      <c r="L145" s="265">
        <f t="shared" ref="L145" si="288">+K145*100/$D145</f>
        <v>24.434046582737352</v>
      </c>
      <c r="M145" s="223">
        <f>+M31+M131+M137+M144</f>
        <v>36367428.609999999</v>
      </c>
      <c r="N145" s="223">
        <f t="shared" ref="N145" si="289">+M145*100/$D145</f>
        <v>26.700179910412619</v>
      </c>
      <c r="O145" s="223">
        <f>+O31+O131+O137+O144</f>
        <v>99839251.390000001</v>
      </c>
      <c r="P145" s="223">
        <f t="shared" ref="P145" si="290">+O145*100/$D145</f>
        <v>73.299820089587385</v>
      </c>
      <c r="Q145" s="223">
        <f>+Q31+Q131+Q137+Q144</f>
        <v>237319351.39000002</v>
      </c>
      <c r="R145" s="223">
        <f t="shared" si="282"/>
        <v>86.712025838442031</v>
      </c>
      <c r="S145" s="241"/>
      <c r="T145" s="241"/>
    </row>
    <row r="147" spans="1:20">
      <c r="C147" s="222"/>
      <c r="D147" s="222"/>
      <c r="E147" s="222"/>
      <c r="G147" s="222"/>
      <c r="I147" s="222"/>
      <c r="K147" s="222"/>
      <c r="M147" s="222"/>
      <c r="O147" s="222"/>
      <c r="Q147" s="222"/>
    </row>
    <row r="148" spans="1:20">
      <c r="C148" s="222"/>
      <c r="D148" s="222"/>
      <c r="E148" s="222"/>
      <c r="F148" s="222"/>
      <c r="G148" s="222"/>
      <c r="H148" s="222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</row>
  </sheetData>
  <mergeCells count="22">
    <mergeCell ref="A138:B138"/>
    <mergeCell ref="A132:B132"/>
    <mergeCell ref="A32:B32"/>
    <mergeCell ref="A10:B10"/>
    <mergeCell ref="M7:N7"/>
    <mergeCell ref="D8:D9"/>
    <mergeCell ref="E8:F8"/>
    <mergeCell ref="G8:H8"/>
    <mergeCell ref="I8:J8"/>
    <mergeCell ref="K8:L8"/>
    <mergeCell ref="M8:N8"/>
    <mergeCell ref="C8:C9"/>
    <mergeCell ref="A1:R1"/>
    <mergeCell ref="A2:R2"/>
    <mergeCell ref="A3:R3"/>
    <mergeCell ref="A4:R4"/>
    <mergeCell ref="A5:R5"/>
    <mergeCell ref="A6:R6"/>
    <mergeCell ref="A8:A9"/>
    <mergeCell ref="B8:B9"/>
    <mergeCell ref="O8:P8"/>
    <mergeCell ref="Q8:R8"/>
  </mergeCells>
  <pageMargins left="0.15748031496062992" right="0.15748031496062992" top="0.19" bottom="0.19" header="0.15748031496062992" footer="0.15748031496062992"/>
  <pageSetup paperSize="9" scale="60" orientation="landscape" verticalDpi="0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23</vt:i4>
      </vt:variant>
      <vt:variant>
        <vt:lpstr>ช่วงที่มีชื่อ</vt:lpstr>
      </vt:variant>
      <vt:variant>
        <vt:i4>4</vt:i4>
      </vt:variant>
    </vt:vector>
  </HeadingPairs>
  <TitlesOfParts>
    <vt:vector size="27" baseType="lpstr">
      <vt:lpstr>DATA</vt:lpstr>
      <vt:lpstr>reportสล.</vt:lpstr>
      <vt:lpstr>ยอดเบิกตาม GFMIS</vt:lpstr>
      <vt:lpstr>ยอดเบิกตามทะเบียน</vt:lpstr>
      <vt:lpstr>เปรียบเทียบGF-ทะเบียนคุม</vt:lpstr>
      <vt:lpstr>เทียบตัวชี้วัด</vt:lpstr>
      <vt:lpstr>ดำเนินงาน+ยาเสพติด</vt:lpstr>
      <vt:lpstr>รวมทุกงบ</vt:lpstr>
      <vt:lpstr>งบดำเนินงาน</vt:lpstr>
      <vt:lpstr>งบลงทุน</vt:lpstr>
      <vt:lpstr>รวมรายจ่ายอื่น</vt:lpstr>
      <vt:lpstr>ต่างประเทศ</vt:lpstr>
      <vt:lpstr>ยาเสพติด</vt:lpstr>
      <vt:lpstr>ถอนคืนรายได้แผ่นดิน</vt:lpstr>
      <vt:lpstr>สรุปการโอน</vt:lpstr>
      <vt:lpstr>รายละเอียดโครงการ</vt:lpstr>
      <vt:lpstr>หน่วยงานอื่น</vt:lpstr>
      <vt:lpstr>คบ.เขต</vt:lpstr>
      <vt:lpstr>สรุปผลโอนเบิกแทน</vt:lpstr>
      <vt:lpstr>เรียงตามเขต</vt:lpstr>
      <vt:lpstr>รายโครงการ</vt:lpstr>
      <vt:lpstr>สรุปเงินกัน</vt:lpstr>
      <vt:lpstr>รายละเอียดเงินกัน</vt:lpstr>
      <vt:lpstr>DATA!Print_Titles</vt:lpstr>
      <vt:lpstr>งบดำเนินงาน!Print_Titles</vt:lpstr>
      <vt:lpstr>งบลงทุน!Print_Titles</vt:lpstr>
      <vt:lpstr>ต่างประเทศ!Print_Titles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อรอนงค์ สุรภพพิศิษฐ์</dc:creator>
  <cp:lastModifiedBy>FDA-DC001</cp:lastModifiedBy>
  <cp:lastPrinted>2023-01-06T07:34:50Z</cp:lastPrinted>
  <dcterms:created xsi:type="dcterms:W3CDTF">2022-10-21T03:12:03Z</dcterms:created>
  <dcterms:modified xsi:type="dcterms:W3CDTF">2023-01-09T04:30:20Z</dcterms:modified>
</cp:coreProperties>
</file>