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บรรยาย Undo\ตารางประมาณการ UNDO_05.12.57\"/>
    </mc:Choice>
  </mc:AlternateContent>
  <bookViews>
    <workbookView xWindow="120" yWindow="120" windowWidth="18975" windowHeight="12210" tabRatio="880" firstSheet="1" activeTab="5"/>
  </bookViews>
  <sheets>
    <sheet name="ตัวอย่าง เทียบบำนาญ" sheetId="4" r:id="rId1"/>
    <sheet name="ตัวอย่างเลื่อนเงินเดือน 2" sheetId="6" r:id="rId2"/>
    <sheet name="ฐานเงินเดือนข้าราชการพลเรือน" sheetId="8" r:id="rId3"/>
    <sheet name="ฟอร์มประมาณการ" sheetId="9" state="hidden" r:id="rId4"/>
    <sheet name="ฟอร์มสูตรเทียบบำนาญ1" sheetId="15" state="hidden" r:id="rId5"/>
    <sheet name="ฟอร์มสูตรเทียบบำนาญ" sheetId="16" r:id="rId6"/>
    <sheet name="ฟอร์มสูตร ประมาณการเงินเดือน" sheetId="7" r:id="rId7"/>
    <sheet name="ประมาณการ เงินกบข." sheetId="13" r:id="rId8"/>
    <sheet name="ฐานเงินเดือนข้าราชการพลเรือน2" sheetId="10" state="hidden" r:id="rId9"/>
  </sheets>
  <definedNames>
    <definedName name="_xlnm.Print_Area" localSheetId="0">'ตัวอย่าง เทียบบำนาญ'!$A$1:$U$156</definedName>
    <definedName name="_xlnm.Print_Area" localSheetId="1">'ตัวอย่างเลื่อนเงินเดือน 2'!$A$1:$G$43</definedName>
    <definedName name="_xlnm.Print_Area" localSheetId="3">ฟอร์มประมาณการ!$B$1:$V$57</definedName>
    <definedName name="_xlnm.Print_Area" localSheetId="6">'ฟอร์มสูตร ประมาณการเงินเดือน'!$A$1:$H$52</definedName>
    <definedName name="_xlnm.Print_Area" localSheetId="5">ฟอร์มสูตรเทียบบำนาญ!$A$1:$V$76</definedName>
    <definedName name="_xlnm.Print_Area" localSheetId="4">ฟอร์มสูตรเทียบบำนาญ1!$B$1:$V$61</definedName>
  </definedNames>
  <calcPr calcId="152511"/>
</workbook>
</file>

<file path=xl/calcChain.xml><?xml version="1.0" encoding="utf-8"?>
<calcChain xmlns="http://schemas.openxmlformats.org/spreadsheetml/2006/main">
  <c r="I35" i="7" l="1"/>
  <c r="H35" i="7" s="1"/>
  <c r="I36" i="7"/>
  <c r="H36" i="7" s="1"/>
  <c r="I37" i="7"/>
  <c r="I38" i="7"/>
  <c r="H38" i="7" s="1"/>
  <c r="I39" i="7"/>
  <c r="H39" i="7" s="1"/>
  <c r="I40" i="7"/>
  <c r="H40" i="7" s="1"/>
  <c r="I41" i="7"/>
  <c r="H41" i="7" s="1"/>
  <c r="I42" i="7"/>
  <c r="H42" i="7" s="1"/>
  <c r="I43" i="7"/>
  <c r="H43" i="7" s="1"/>
  <c r="I44" i="7"/>
  <c r="H44" i="7" s="1"/>
  <c r="I45" i="7"/>
  <c r="I46" i="7"/>
  <c r="H46" i="7" s="1"/>
  <c r="I47" i="7"/>
  <c r="I48" i="7"/>
  <c r="H48" i="7" s="1"/>
  <c r="I49" i="7"/>
  <c r="H49" i="7" s="1"/>
  <c r="I50" i="7"/>
  <c r="H50" i="7" s="1"/>
  <c r="I51" i="7"/>
  <c r="H51" i="7" s="1"/>
  <c r="I52" i="7"/>
  <c r="H52" i="7" s="1"/>
  <c r="H37" i="7"/>
  <c r="H45" i="7"/>
  <c r="H47" i="7"/>
  <c r="P23" i="16" l="1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45" i="16" s="1"/>
  <c r="E124" i="16"/>
  <c r="E123" i="16"/>
  <c r="E122" i="16"/>
  <c r="E121" i="16"/>
  <c r="E120" i="16"/>
  <c r="E119" i="16"/>
  <c r="E118" i="16"/>
  <c r="E117" i="16"/>
  <c r="E116" i="16"/>
  <c r="E115" i="16"/>
  <c r="E114" i="16"/>
  <c r="E106" i="16"/>
  <c r="E105" i="16"/>
  <c r="E104" i="16"/>
  <c r="E103" i="16"/>
  <c r="E102" i="16"/>
  <c r="E101" i="16"/>
  <c r="E100" i="16"/>
  <c r="E99" i="16"/>
  <c r="E98" i="16"/>
  <c r="E97" i="16"/>
  <c r="E96" i="16"/>
  <c r="E90" i="16"/>
  <c r="E89" i="16"/>
  <c r="E88" i="16"/>
  <c r="E87" i="16"/>
  <c r="E86" i="16"/>
  <c r="M61" i="16"/>
  <c r="P53" i="16"/>
  <c r="E53" i="16"/>
  <c r="Q53" i="16" s="1"/>
  <c r="P52" i="16"/>
  <c r="E52" i="16"/>
  <c r="Q52" i="16" s="1"/>
  <c r="P51" i="16"/>
  <c r="E51" i="16"/>
  <c r="Q51" i="16" s="1"/>
  <c r="P50" i="16"/>
  <c r="E50" i="16"/>
  <c r="Q50" i="16" s="1"/>
  <c r="P49" i="16"/>
  <c r="E49" i="16"/>
  <c r="Q49" i="16" s="1"/>
  <c r="P48" i="16"/>
  <c r="E48" i="16"/>
  <c r="Q48" i="16" s="1"/>
  <c r="P47" i="16"/>
  <c r="E47" i="16"/>
  <c r="Q47" i="16" s="1"/>
  <c r="P46" i="16"/>
  <c r="E46" i="16"/>
  <c r="Q46" i="16" s="1"/>
  <c r="P45" i="16"/>
  <c r="E45" i="16"/>
  <c r="Q45" i="16" s="1"/>
  <c r="P44" i="16"/>
  <c r="E44" i="16"/>
  <c r="Q44" i="16" s="1"/>
  <c r="P43" i="16"/>
  <c r="E43" i="16"/>
  <c r="Q43" i="16" s="1"/>
  <c r="P42" i="16"/>
  <c r="E42" i="16"/>
  <c r="Q42" i="16" s="1"/>
  <c r="P41" i="16"/>
  <c r="E41" i="16"/>
  <c r="O12" i="16"/>
  <c r="N12" i="16"/>
  <c r="K12" i="16"/>
  <c r="U11" i="16"/>
  <c r="T11" i="16" s="1"/>
  <c r="S11" i="16" s="1"/>
  <c r="R11" i="16" s="1"/>
  <c r="O11" i="16"/>
  <c r="K11" i="16"/>
  <c r="U10" i="16"/>
  <c r="T10" i="16" s="1"/>
  <c r="S10" i="16" s="1"/>
  <c r="R10" i="16" s="1"/>
  <c r="O10" i="16"/>
  <c r="N10" i="16"/>
  <c r="K10" i="16"/>
  <c r="U9" i="16"/>
  <c r="T9" i="16" s="1"/>
  <c r="S9" i="16" s="1"/>
  <c r="R9" i="16" s="1"/>
  <c r="O9" i="16"/>
  <c r="N9" i="16"/>
  <c r="K9" i="16"/>
  <c r="E8" i="16"/>
  <c r="U8" i="16" s="1"/>
  <c r="E4" i="13"/>
  <c r="C4" i="13"/>
  <c r="D4" i="13" s="1"/>
  <c r="F4" i="13" s="1"/>
  <c r="E3" i="13"/>
  <c r="C3" i="13"/>
  <c r="D3" i="13" s="1"/>
  <c r="F3" i="13" s="1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1" i="15"/>
  <c r="E110" i="15"/>
  <c r="E109" i="15"/>
  <c r="E108" i="15"/>
  <c r="E107" i="15"/>
  <c r="E106" i="15"/>
  <c r="E105" i="15"/>
  <c r="E104" i="15"/>
  <c r="E103" i="15"/>
  <c r="E102" i="15"/>
  <c r="E101" i="15"/>
  <c r="E93" i="15"/>
  <c r="E92" i="15"/>
  <c r="E91" i="15"/>
  <c r="E90" i="15"/>
  <c r="E89" i="15"/>
  <c r="E88" i="15"/>
  <c r="E87" i="15"/>
  <c r="E86" i="15"/>
  <c r="E85" i="15"/>
  <c r="E84" i="15"/>
  <c r="E83" i="15"/>
  <c r="E77" i="15"/>
  <c r="E76" i="15"/>
  <c r="E75" i="15"/>
  <c r="E74" i="15"/>
  <c r="E73" i="15"/>
  <c r="M48" i="15"/>
  <c r="P40" i="15"/>
  <c r="E40" i="15"/>
  <c r="Q40" i="15" s="1"/>
  <c r="P39" i="15"/>
  <c r="E39" i="15"/>
  <c r="Q39" i="15" s="1"/>
  <c r="P38" i="15"/>
  <c r="E38" i="15"/>
  <c r="Q38" i="15" s="1"/>
  <c r="P37" i="15"/>
  <c r="E37" i="15"/>
  <c r="Q37" i="15" s="1"/>
  <c r="P36" i="15"/>
  <c r="E36" i="15"/>
  <c r="Q36" i="15" s="1"/>
  <c r="P35" i="15"/>
  <c r="H54" i="15" s="1"/>
  <c r="E35" i="15"/>
  <c r="Q35" i="15" s="1"/>
  <c r="P34" i="15"/>
  <c r="E34" i="15"/>
  <c r="Q34" i="15" s="1"/>
  <c r="P33" i="15"/>
  <c r="E33" i="15"/>
  <c r="Q33" i="15" s="1"/>
  <c r="P32" i="15"/>
  <c r="E32" i="15"/>
  <c r="Q32" i="15" s="1"/>
  <c r="P31" i="15"/>
  <c r="E31" i="15"/>
  <c r="Q31" i="15" s="1"/>
  <c r="P30" i="15"/>
  <c r="E30" i="15"/>
  <c r="Q30" i="15" s="1"/>
  <c r="P29" i="15"/>
  <c r="E29" i="15"/>
  <c r="Q29" i="15" s="1"/>
  <c r="P28" i="15"/>
  <c r="E28" i="15"/>
  <c r="O12" i="15"/>
  <c r="N12" i="15"/>
  <c r="K12" i="15"/>
  <c r="U11" i="15"/>
  <c r="T11" i="15" s="1"/>
  <c r="S11" i="15" s="1"/>
  <c r="R11" i="15" s="1"/>
  <c r="O11" i="15"/>
  <c r="K11" i="15"/>
  <c r="U10" i="15"/>
  <c r="T10" i="15" s="1"/>
  <c r="S10" i="15" s="1"/>
  <c r="R10" i="15" s="1"/>
  <c r="O10" i="15"/>
  <c r="N10" i="15"/>
  <c r="K10" i="15"/>
  <c r="U9" i="15"/>
  <c r="S9" i="15" s="1"/>
  <c r="R9" i="15" s="1"/>
  <c r="T9" i="15"/>
  <c r="O9" i="15"/>
  <c r="N9" i="15"/>
  <c r="K9" i="15"/>
  <c r="E8" i="15"/>
  <c r="U8" i="15" s="1"/>
  <c r="I26" i="7"/>
  <c r="H26" i="7" s="1"/>
  <c r="I27" i="7"/>
  <c r="H27" i="7" s="1"/>
  <c r="I28" i="7"/>
  <c r="H28" i="7" s="1"/>
  <c r="I29" i="7"/>
  <c r="H29" i="7" s="1"/>
  <c r="I30" i="7"/>
  <c r="H30" i="7" s="1"/>
  <c r="I31" i="7"/>
  <c r="H31" i="7" s="1"/>
  <c r="I32" i="7"/>
  <c r="H32" i="7" s="1"/>
  <c r="I33" i="7"/>
  <c r="H33" i="7" s="1"/>
  <c r="I34" i="7"/>
  <c r="H34" i="7" s="1"/>
  <c r="B5" i="13"/>
  <c r="E5" i="13" s="1"/>
  <c r="E127" i="9"/>
  <c r="E126" i="9"/>
  <c r="E125" i="9"/>
  <c r="E124" i="9"/>
  <c r="E123" i="9"/>
  <c r="E122" i="9"/>
  <c r="E121" i="9"/>
  <c r="E120" i="9"/>
  <c r="E119" i="9"/>
  <c r="E118" i="9"/>
  <c r="E117" i="9"/>
  <c r="E116" i="9"/>
  <c r="E107" i="9"/>
  <c r="E106" i="9"/>
  <c r="E105" i="9"/>
  <c r="E104" i="9"/>
  <c r="E103" i="9"/>
  <c r="E102" i="9"/>
  <c r="E101" i="9"/>
  <c r="E100" i="9"/>
  <c r="E99" i="9"/>
  <c r="E98" i="9"/>
  <c r="E97" i="9"/>
  <c r="E108" i="9" s="1"/>
  <c r="E89" i="9"/>
  <c r="E88" i="9"/>
  <c r="E87" i="9"/>
  <c r="E86" i="9"/>
  <c r="E85" i="9"/>
  <c r="E84" i="9"/>
  <c r="E83" i="9"/>
  <c r="E82" i="9"/>
  <c r="E81" i="9"/>
  <c r="E80" i="9"/>
  <c r="E79" i="9"/>
  <c r="E73" i="9"/>
  <c r="E72" i="9"/>
  <c r="E71" i="9"/>
  <c r="E70" i="9"/>
  <c r="E69" i="9"/>
  <c r="M58" i="9"/>
  <c r="M55" i="9"/>
  <c r="G45" i="9"/>
  <c r="F45" i="9"/>
  <c r="M44" i="9"/>
  <c r="H40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J18" i="9"/>
  <c r="J17" i="9"/>
  <c r="Q16" i="9"/>
  <c r="L16" i="9"/>
  <c r="I16" i="9"/>
  <c r="Q15" i="9"/>
  <c r="L15" i="9"/>
  <c r="O12" i="9"/>
  <c r="N12" i="9"/>
  <c r="K12" i="9"/>
  <c r="U11" i="9"/>
  <c r="T11" i="9" s="1"/>
  <c r="S11" i="9" s="1"/>
  <c r="R11" i="9" s="1"/>
  <c r="Q11" i="9"/>
  <c r="O11" i="9"/>
  <c r="L11" i="9"/>
  <c r="K11" i="9"/>
  <c r="I11" i="9"/>
  <c r="U10" i="9"/>
  <c r="T10" i="9" s="1"/>
  <c r="S10" i="9" s="1"/>
  <c r="R10" i="9" s="1"/>
  <c r="O10" i="9"/>
  <c r="N10" i="9"/>
  <c r="K10" i="9"/>
  <c r="U9" i="9"/>
  <c r="T9" i="9" s="1"/>
  <c r="S9" i="9" s="1"/>
  <c r="R9" i="9" s="1"/>
  <c r="O9" i="9"/>
  <c r="N9" i="9"/>
  <c r="K9" i="9"/>
  <c r="Q8" i="9"/>
  <c r="L8" i="9"/>
  <c r="L13" i="9" s="1"/>
  <c r="I8" i="9"/>
  <c r="I13" i="9" s="1"/>
  <c r="E8" i="9"/>
  <c r="O8" i="9" s="1"/>
  <c r="O13" i="9" s="1"/>
  <c r="I25" i="7"/>
  <c r="H25" i="7" s="1"/>
  <c r="I24" i="7"/>
  <c r="H24" i="7" s="1"/>
  <c r="I23" i="7"/>
  <c r="H23" i="7" s="1"/>
  <c r="I22" i="7"/>
  <c r="H22" i="7" s="1"/>
  <c r="I21" i="7"/>
  <c r="H21" i="7" s="1"/>
  <c r="I20" i="7"/>
  <c r="H20" i="7" s="1"/>
  <c r="I19" i="7"/>
  <c r="H19" i="7" s="1"/>
  <c r="I18" i="7"/>
  <c r="H18" i="7" s="1"/>
  <c r="I17" i="7"/>
  <c r="H17" i="7" s="1"/>
  <c r="I16" i="7"/>
  <c r="H16" i="7" s="1"/>
  <c r="I15" i="7"/>
  <c r="H15" i="7" s="1"/>
  <c r="I14" i="7"/>
  <c r="H14" i="7" s="1"/>
  <c r="I13" i="7"/>
  <c r="H13" i="7" s="1"/>
  <c r="I12" i="7"/>
  <c r="H12" i="7" s="1"/>
  <c r="I11" i="7"/>
  <c r="H11" i="7" s="1"/>
  <c r="I10" i="7"/>
  <c r="H10" i="7" s="1"/>
  <c r="I9" i="7"/>
  <c r="H9" i="7" s="1"/>
  <c r="I8" i="7"/>
  <c r="H8" i="7" s="1"/>
  <c r="I7" i="7"/>
  <c r="H7" i="7" s="1"/>
  <c r="I6" i="7"/>
  <c r="H6" i="7" s="1"/>
  <c r="D6" i="7" s="1"/>
  <c r="B6" i="7" s="1"/>
  <c r="H25" i="6"/>
  <c r="G25" i="6" s="1"/>
  <c r="H24" i="6"/>
  <c r="G24" i="6" s="1"/>
  <c r="H23" i="6"/>
  <c r="G23" i="6" s="1"/>
  <c r="H22" i="6"/>
  <c r="G22" i="6" s="1"/>
  <c r="H21" i="6"/>
  <c r="G21" i="6" s="1"/>
  <c r="H20" i="6"/>
  <c r="G20" i="6" s="1"/>
  <c r="H19" i="6"/>
  <c r="G19" i="6" s="1"/>
  <c r="H18" i="6"/>
  <c r="G18" i="6" s="1"/>
  <c r="H17" i="6"/>
  <c r="G17" i="6" s="1"/>
  <c r="H16" i="6"/>
  <c r="G16" i="6" s="1"/>
  <c r="H15" i="6"/>
  <c r="G15" i="6" s="1"/>
  <c r="H14" i="6"/>
  <c r="G14" i="6" s="1"/>
  <c r="H13" i="6"/>
  <c r="G13" i="6" s="1"/>
  <c r="H12" i="6"/>
  <c r="G12" i="6" s="1"/>
  <c r="H11" i="6"/>
  <c r="G11" i="6" s="1"/>
  <c r="H10" i="6"/>
  <c r="G10" i="6" s="1"/>
  <c r="H9" i="6"/>
  <c r="G9" i="6" s="1"/>
  <c r="H8" i="6"/>
  <c r="G8" i="6" s="1"/>
  <c r="H7" i="6"/>
  <c r="G7" i="6" s="1"/>
  <c r="H6" i="6"/>
  <c r="G6" i="6" s="1"/>
  <c r="C6" i="6" s="1"/>
  <c r="B6" i="6" s="1"/>
  <c r="C7" i="6" s="1"/>
  <c r="B7" i="6" s="1"/>
  <c r="C8" i="6" s="1"/>
  <c r="B8" i="6" s="1"/>
  <c r="C9" i="6" s="1"/>
  <c r="D126" i="4"/>
  <c r="D125" i="4"/>
  <c r="D124" i="4"/>
  <c r="D123" i="4"/>
  <c r="D122" i="4"/>
  <c r="D121" i="4"/>
  <c r="D120" i="4"/>
  <c r="D119" i="4"/>
  <c r="D118" i="4"/>
  <c r="D117" i="4"/>
  <c r="D116" i="4"/>
  <c r="D115" i="4"/>
  <c r="D104" i="4"/>
  <c r="D103" i="4"/>
  <c r="D102" i="4"/>
  <c r="D101" i="4"/>
  <c r="D100" i="4"/>
  <c r="D99" i="4"/>
  <c r="D98" i="4"/>
  <c r="D97" i="4"/>
  <c r="D96" i="4"/>
  <c r="D95" i="4"/>
  <c r="D94" i="4"/>
  <c r="D88" i="4"/>
  <c r="D87" i="4"/>
  <c r="D86" i="4"/>
  <c r="D85" i="4"/>
  <c r="D84" i="4"/>
  <c r="D83" i="4"/>
  <c r="D82" i="4"/>
  <c r="D81" i="4"/>
  <c r="D80" i="4"/>
  <c r="D79" i="4"/>
  <c r="D78" i="4"/>
  <c r="D72" i="4"/>
  <c r="D71" i="4"/>
  <c r="D70" i="4"/>
  <c r="D69" i="4"/>
  <c r="L44" i="4"/>
  <c r="O36" i="4"/>
  <c r="D36" i="4"/>
  <c r="P36" i="4" s="1"/>
  <c r="O35" i="4"/>
  <c r="D35" i="4"/>
  <c r="P35" i="4" s="1"/>
  <c r="O34" i="4"/>
  <c r="G50" i="4" s="1"/>
  <c r="D34" i="4"/>
  <c r="P34" i="4" s="1"/>
  <c r="O33" i="4"/>
  <c r="D33" i="4"/>
  <c r="P33" i="4" s="1"/>
  <c r="O32" i="4"/>
  <c r="D32" i="4"/>
  <c r="P32" i="4" s="1"/>
  <c r="O31" i="4"/>
  <c r="D31" i="4"/>
  <c r="P31" i="4" s="1"/>
  <c r="O30" i="4"/>
  <c r="D30" i="4"/>
  <c r="P30" i="4" s="1"/>
  <c r="O29" i="4"/>
  <c r="D29" i="4"/>
  <c r="P29" i="4" s="1"/>
  <c r="O28" i="4"/>
  <c r="D28" i="4"/>
  <c r="P28" i="4" s="1"/>
  <c r="O27" i="4"/>
  <c r="D27" i="4"/>
  <c r="P27" i="4" s="1"/>
  <c r="O26" i="4"/>
  <c r="D26" i="4"/>
  <c r="P26" i="4" s="1"/>
  <c r="O25" i="4"/>
  <c r="D25" i="4"/>
  <c r="P25" i="4" s="1"/>
  <c r="O24" i="4"/>
  <c r="D24" i="4"/>
  <c r="N12" i="4"/>
  <c r="M12" i="4"/>
  <c r="J12" i="4"/>
  <c r="T11" i="4"/>
  <c r="S11" i="4" s="1"/>
  <c r="R11" i="4" s="1"/>
  <c r="Q11" i="4" s="1"/>
  <c r="P11" i="4" s="1"/>
  <c r="N11" i="4"/>
  <c r="J11" i="4"/>
  <c r="T10" i="4"/>
  <c r="S10" i="4" s="1"/>
  <c r="R10" i="4" s="1"/>
  <c r="Q10" i="4" s="1"/>
  <c r="N10" i="4"/>
  <c r="M10" i="4"/>
  <c r="J10" i="4"/>
  <c r="T9" i="4"/>
  <c r="S9" i="4" s="1"/>
  <c r="R9" i="4" s="1"/>
  <c r="Q9" i="4" s="1"/>
  <c r="N9" i="4"/>
  <c r="M9" i="4"/>
  <c r="J9" i="4"/>
  <c r="D8" i="4"/>
  <c r="T8" i="4" s="1"/>
  <c r="H67" i="16" l="1"/>
  <c r="E54" i="16"/>
  <c r="Q13" i="9"/>
  <c r="E128" i="9"/>
  <c r="E132" i="15"/>
  <c r="E90" i="9"/>
  <c r="D89" i="4"/>
  <c r="E41" i="15"/>
  <c r="E94" i="15"/>
  <c r="D37" i="4"/>
  <c r="E107" i="16"/>
  <c r="E112" i="15"/>
  <c r="M11" i="4"/>
  <c r="L11" i="4" s="1"/>
  <c r="Q11" i="16"/>
  <c r="N11" i="16"/>
  <c r="O8" i="16"/>
  <c r="O13" i="16" s="1"/>
  <c r="E125" i="16"/>
  <c r="T8" i="16"/>
  <c r="Q41" i="16"/>
  <c r="Q54" i="16" s="1"/>
  <c r="K8" i="16"/>
  <c r="K13" i="16" s="1"/>
  <c r="C5" i="13"/>
  <c r="D5" i="13" s="1"/>
  <c r="F5" i="13" s="1"/>
  <c r="O8" i="15"/>
  <c r="N8" i="15" s="1"/>
  <c r="N11" i="15"/>
  <c r="L11" i="15" s="1"/>
  <c r="Q11" i="15"/>
  <c r="T8" i="15"/>
  <c r="Q28" i="15"/>
  <c r="Q41" i="15" s="1"/>
  <c r="K8" i="15"/>
  <c r="K13" i="15" s="1"/>
  <c r="D7" i="7"/>
  <c r="B7" i="7" s="1"/>
  <c r="D8" i="7" s="1"/>
  <c r="B8" i="7" s="1"/>
  <c r="D9" i="7" s="1"/>
  <c r="D10" i="7" s="1"/>
  <c r="B6" i="13"/>
  <c r="N11" i="9"/>
  <c r="N16" i="9"/>
  <c r="D105" i="4"/>
  <c r="D127" i="4"/>
  <c r="Q14" i="9"/>
  <c r="L14" i="9"/>
  <c r="I14" i="9"/>
  <c r="K8" i="9"/>
  <c r="K13" i="9" s="1"/>
  <c r="U8" i="9"/>
  <c r="B9" i="6"/>
  <c r="C10" i="6"/>
  <c r="S8" i="4"/>
  <c r="R8" i="4" s="1"/>
  <c r="Q8" i="4" s="1"/>
  <c r="P8" i="4" s="1"/>
  <c r="P13" i="4" s="1"/>
  <c r="N8" i="4"/>
  <c r="N13" i="4" s="1"/>
  <c r="I11" i="4"/>
  <c r="P24" i="4"/>
  <c r="P37" i="4" s="1"/>
  <c r="J8" i="4"/>
  <c r="J13" i="4" s="1"/>
  <c r="N8" i="16" l="1"/>
  <c r="N13" i="16" s="1"/>
  <c r="L11" i="16"/>
  <c r="I11" i="16"/>
  <c r="Q55" i="16"/>
  <c r="H56" i="16"/>
  <c r="S8" i="16"/>
  <c r="R8" i="16" s="1"/>
  <c r="Q8" i="16" s="1"/>
  <c r="Q13" i="16" s="1"/>
  <c r="A6" i="13"/>
  <c r="E6" i="13"/>
  <c r="C6" i="13"/>
  <c r="D6" i="13" s="1"/>
  <c r="O13" i="15"/>
  <c r="I11" i="15"/>
  <c r="S8" i="15"/>
  <c r="R8" i="15" s="1"/>
  <c r="Q8" i="15" s="1"/>
  <c r="Q13" i="15" s="1"/>
  <c r="Q42" i="15"/>
  <c r="H43" i="15"/>
  <c r="N13" i="15"/>
  <c r="L8" i="15"/>
  <c r="I8" i="15"/>
  <c r="I13" i="15" s="1"/>
  <c r="B9" i="7"/>
  <c r="B9" i="13" s="1"/>
  <c r="E9" i="13" s="1"/>
  <c r="B8" i="13"/>
  <c r="E8" i="13" s="1"/>
  <c r="B7" i="13"/>
  <c r="E7" i="13" s="1"/>
  <c r="T8" i="9"/>
  <c r="S8" i="9"/>
  <c r="R8" i="9" s="1"/>
  <c r="N8" i="9"/>
  <c r="N13" i="9" s="1"/>
  <c r="O14" i="9" s="1"/>
  <c r="N14" i="9" s="1"/>
  <c r="I15" i="9" s="1"/>
  <c r="K15" i="9"/>
  <c r="K16" i="9" s="1"/>
  <c r="K14" i="9"/>
  <c r="B10" i="7"/>
  <c r="B10" i="13" s="1"/>
  <c r="E10" i="13" s="1"/>
  <c r="D11" i="7"/>
  <c r="B10" i="6"/>
  <c r="C11" i="6"/>
  <c r="P14" i="4"/>
  <c r="P38" i="4"/>
  <c r="G39" i="4"/>
  <c r="M8" i="4"/>
  <c r="F6" i="13" l="1"/>
  <c r="L8" i="16"/>
  <c r="I8" i="16"/>
  <c r="I13" i="16" s="1"/>
  <c r="P16" i="4"/>
  <c r="O14" i="16"/>
  <c r="N14" i="16" s="1"/>
  <c r="L13" i="16"/>
  <c r="Q14" i="16"/>
  <c r="Q56" i="16"/>
  <c r="H57" i="16"/>
  <c r="A10" i="13"/>
  <c r="C10" i="13"/>
  <c r="D10" i="13" s="1"/>
  <c r="F10" i="13" s="1"/>
  <c r="A7" i="13"/>
  <c r="C7" i="13"/>
  <c r="D7" i="13" s="1"/>
  <c r="F7" i="13" s="1"/>
  <c r="A9" i="13"/>
  <c r="C9" i="13"/>
  <c r="D9" i="13" s="1"/>
  <c r="F9" i="13" s="1"/>
  <c r="A8" i="13"/>
  <c r="C8" i="13"/>
  <c r="D8" i="13" s="1"/>
  <c r="F8" i="13" s="1"/>
  <c r="L13" i="15"/>
  <c r="L14" i="15" s="1"/>
  <c r="Q14" i="15"/>
  <c r="Q15" i="15" s="1"/>
  <c r="Q16" i="15" s="1"/>
  <c r="O14" i="15"/>
  <c r="N14" i="15" s="1"/>
  <c r="Q43" i="15"/>
  <c r="H44" i="15"/>
  <c r="O15" i="9"/>
  <c r="N15" i="9" s="1"/>
  <c r="O16" i="9" s="1"/>
  <c r="B11" i="7"/>
  <c r="B11" i="13" s="1"/>
  <c r="E11" i="13" s="1"/>
  <c r="D12" i="7"/>
  <c r="B11" i="6"/>
  <c r="C12" i="6"/>
  <c r="M13" i="4"/>
  <c r="N14" i="4" s="1"/>
  <c r="M14" i="4" s="1"/>
  <c r="L8" i="4"/>
  <c r="L13" i="4" s="1"/>
  <c r="I8" i="4"/>
  <c r="I13" i="4" s="1"/>
  <c r="P39" i="4"/>
  <c r="G40" i="4"/>
  <c r="O16" i="16" l="1"/>
  <c r="N16" i="16" s="1"/>
  <c r="Q15" i="16"/>
  <c r="Q16" i="16" s="1"/>
  <c r="Q57" i="16"/>
  <c r="Q58" i="16" s="1"/>
  <c r="H61" i="16"/>
  <c r="H58" i="16"/>
  <c r="L14" i="16"/>
  <c r="I14" i="16"/>
  <c r="I20" i="16"/>
  <c r="I22" i="16" s="1"/>
  <c r="A11" i="13"/>
  <c r="C11" i="13"/>
  <c r="D11" i="13" s="1"/>
  <c r="F11" i="13" s="1"/>
  <c r="I14" i="15"/>
  <c r="I20" i="15"/>
  <c r="O16" i="15"/>
  <c r="N16" i="15" s="1"/>
  <c r="N20" i="15" s="1"/>
  <c r="Q17" i="15"/>
  <c r="L15" i="15"/>
  <c r="L16" i="15" s="1"/>
  <c r="K14" i="15"/>
  <c r="K16" i="15" s="1"/>
  <c r="Q44" i="15"/>
  <c r="Q45" i="15" s="1"/>
  <c r="H48" i="15"/>
  <c r="H45" i="15"/>
  <c r="B12" i="7"/>
  <c r="B12" i="13" s="1"/>
  <c r="E12" i="13" s="1"/>
  <c r="D13" i="7"/>
  <c r="B12" i="6"/>
  <c r="C13" i="6"/>
  <c r="P40" i="4"/>
  <c r="P41" i="4" s="1"/>
  <c r="G44" i="4"/>
  <c r="G41" i="4"/>
  <c r="I14" i="4"/>
  <c r="L14" i="4"/>
  <c r="M16" i="4" s="1"/>
  <c r="L16" i="4" l="1"/>
  <c r="I16" i="4"/>
  <c r="L15" i="16"/>
  <c r="L16" i="16" s="1"/>
  <c r="K14" i="16"/>
  <c r="K16" i="16" s="1"/>
  <c r="N20" i="16"/>
  <c r="N23" i="16" s="1"/>
  <c r="Q17" i="16"/>
  <c r="O20" i="16"/>
  <c r="O23" i="16" s="1"/>
  <c r="A12" i="13"/>
  <c r="C12" i="13"/>
  <c r="D12" i="13" s="1"/>
  <c r="F12" i="13" s="1"/>
  <c r="O20" i="15"/>
  <c r="K20" i="15"/>
  <c r="L17" i="15"/>
  <c r="L18" i="15" s="1"/>
  <c r="L19" i="15" s="1"/>
  <c r="L20" i="15" s="1"/>
  <c r="Q20" i="15"/>
  <c r="Q18" i="15"/>
  <c r="Q19" i="15" s="1"/>
  <c r="B13" i="7"/>
  <c r="B13" i="13" s="1"/>
  <c r="E13" i="13" s="1"/>
  <c r="D14" i="7"/>
  <c r="B13" i="6"/>
  <c r="C14" i="6"/>
  <c r="Q20" i="16" l="1"/>
  <c r="Q22" i="16" s="1"/>
  <c r="Q23" i="16" s="1"/>
  <c r="Q18" i="16"/>
  <c r="Q19" i="16" s="1"/>
  <c r="K20" i="16"/>
  <c r="L17" i="16"/>
  <c r="L18" i="16" s="1"/>
  <c r="L19" i="16" s="1"/>
  <c r="L20" i="16" s="1"/>
  <c r="A13" i="13"/>
  <c r="C13" i="13"/>
  <c r="D13" i="13" s="1"/>
  <c r="F13" i="13" s="1"/>
  <c r="J22" i="15"/>
  <c r="J21" i="15" s="1"/>
  <c r="J48" i="15" s="1"/>
  <c r="F49" i="15" s="1"/>
  <c r="G49" i="15" s="1"/>
  <c r="H49" i="15" s="1"/>
  <c r="H51" i="15" s="1"/>
  <c r="J59" i="15" s="1"/>
  <c r="I18" i="4"/>
  <c r="I17" i="4" s="1"/>
  <c r="I44" i="4" s="1"/>
  <c r="E45" i="4" s="1"/>
  <c r="B14" i="7"/>
  <c r="B14" i="13" s="1"/>
  <c r="E14" i="13" s="1"/>
  <c r="D15" i="7"/>
  <c r="B14" i="6"/>
  <c r="C15" i="6"/>
  <c r="L22" i="16" l="1"/>
  <c r="M32" i="16" s="1"/>
  <c r="A14" i="13"/>
  <c r="C14" i="13"/>
  <c r="D14" i="13" s="1"/>
  <c r="F14" i="13" s="1"/>
  <c r="Q23" i="15"/>
  <c r="Q24" i="15"/>
  <c r="J54" i="15"/>
  <c r="H55" i="15" s="1"/>
  <c r="H57" i="15" s="1"/>
  <c r="M59" i="15" s="1"/>
  <c r="P19" i="4"/>
  <c r="P20" i="4"/>
  <c r="I50" i="4"/>
  <c r="G51" i="4" s="1"/>
  <c r="G53" i="4" s="1"/>
  <c r="G55" i="4" s="1"/>
  <c r="B15" i="7"/>
  <c r="B15" i="13" s="1"/>
  <c r="E15" i="13" s="1"/>
  <c r="D16" i="7"/>
  <c r="B15" i="6"/>
  <c r="C16" i="6"/>
  <c r="G45" i="4"/>
  <c r="F45" i="4"/>
  <c r="L28" i="16" l="1"/>
  <c r="L25" i="16"/>
  <c r="G47" i="4"/>
  <c r="I55" i="4" s="1"/>
  <c r="L23" i="16"/>
  <c r="L27" i="16"/>
  <c r="L26" i="16"/>
  <c r="L24" i="16"/>
  <c r="Q24" i="16"/>
  <c r="Q25" i="16" s="1"/>
  <c r="Q26" i="16" s="1"/>
  <c r="Q27" i="16" s="1"/>
  <c r="A15" i="13"/>
  <c r="C15" i="13"/>
  <c r="D15" i="13" s="1"/>
  <c r="F15" i="13" s="1"/>
  <c r="H59" i="15"/>
  <c r="M62" i="15"/>
  <c r="M61" i="15" s="1"/>
  <c r="H61" i="15"/>
  <c r="B16" i="7"/>
  <c r="B16" i="13" s="1"/>
  <c r="E16" i="13" s="1"/>
  <c r="D17" i="7"/>
  <c r="B16" i="6"/>
  <c r="C17" i="6"/>
  <c r="L55" i="4" l="1"/>
  <c r="I23" i="16"/>
  <c r="Q28" i="16"/>
  <c r="Q31" i="16" s="1"/>
  <c r="A16" i="13"/>
  <c r="C16" i="13"/>
  <c r="D16" i="13" s="1"/>
  <c r="F16" i="13" s="1"/>
  <c r="B17" i="7"/>
  <c r="B17" i="13" s="1"/>
  <c r="E17" i="13" s="1"/>
  <c r="D18" i="7"/>
  <c r="B17" i="6"/>
  <c r="C18" i="6"/>
  <c r="L57" i="4"/>
  <c r="G57" i="4"/>
  <c r="L29" i="16" l="1"/>
  <c r="L30" i="16" s="1"/>
  <c r="I24" i="16" s="1"/>
  <c r="A17" i="13"/>
  <c r="C17" i="13"/>
  <c r="D17" i="13" s="1"/>
  <c r="F17" i="13" s="1"/>
  <c r="B18" i="7"/>
  <c r="B18" i="13" s="1"/>
  <c r="E18" i="13" s="1"/>
  <c r="D19" i="7"/>
  <c r="B18" i="6"/>
  <c r="C19" i="6"/>
  <c r="L31" i="16" l="1"/>
  <c r="I31" i="16"/>
  <c r="A18" i="13"/>
  <c r="C18" i="13"/>
  <c r="D18" i="13" s="1"/>
  <c r="F18" i="13" s="1"/>
  <c r="B19" i="7"/>
  <c r="B19" i="13" s="1"/>
  <c r="E19" i="13" s="1"/>
  <c r="D20" i="7"/>
  <c r="B19" i="6"/>
  <c r="C20" i="6"/>
  <c r="J34" i="16" l="1"/>
  <c r="J33" i="16" s="1"/>
  <c r="J61" i="16" s="1"/>
  <c r="F62" i="16" s="1"/>
  <c r="G62" i="16" s="1"/>
  <c r="H62" i="16" s="1"/>
  <c r="H64" i="16" s="1"/>
  <c r="J72" i="16" s="1"/>
  <c r="A19" i="13"/>
  <c r="C19" i="13"/>
  <c r="D19" i="13" s="1"/>
  <c r="F19" i="13" s="1"/>
  <c r="B20" i="7"/>
  <c r="B20" i="13" s="1"/>
  <c r="E20" i="13" s="1"/>
  <c r="D21" i="7"/>
  <c r="B20" i="6"/>
  <c r="C21" i="6"/>
  <c r="Q37" i="16" l="1"/>
  <c r="J67" i="16"/>
  <c r="H68" i="16" s="1"/>
  <c r="H70" i="16" s="1"/>
  <c r="M72" i="16" s="1"/>
  <c r="Q36" i="16"/>
  <c r="A20" i="13"/>
  <c r="C20" i="13"/>
  <c r="D20" i="13" s="1"/>
  <c r="F20" i="13" s="1"/>
  <c r="B21" i="7"/>
  <c r="B21" i="13" s="1"/>
  <c r="E21" i="13" s="1"/>
  <c r="D22" i="7"/>
  <c r="B21" i="6"/>
  <c r="C22" i="6"/>
  <c r="M75" i="16" l="1"/>
  <c r="M74" i="16" s="1"/>
  <c r="H76" i="16"/>
  <c r="H72" i="16"/>
  <c r="H74" i="16"/>
  <c r="A21" i="13"/>
  <c r="C21" i="13"/>
  <c r="D21" i="13" s="1"/>
  <c r="F21" i="13" s="1"/>
  <c r="B22" i="7"/>
  <c r="B22" i="13" s="1"/>
  <c r="E22" i="13" s="1"/>
  <c r="D23" i="7"/>
  <c r="B22" i="6"/>
  <c r="C23" i="6"/>
  <c r="A22" i="13" l="1"/>
  <c r="C22" i="13"/>
  <c r="D22" i="13" s="1"/>
  <c r="F22" i="13" s="1"/>
  <c r="B23" i="7"/>
  <c r="B23" i="13" s="1"/>
  <c r="E23" i="13" s="1"/>
  <c r="D24" i="7"/>
  <c r="B23" i="6"/>
  <c r="C24" i="6"/>
  <c r="A23" i="13" l="1"/>
  <c r="C23" i="13"/>
  <c r="D23" i="13" s="1"/>
  <c r="F23" i="13" s="1"/>
  <c r="B24" i="7"/>
  <c r="B24" i="13" s="1"/>
  <c r="E24" i="13" s="1"/>
  <c r="D25" i="7"/>
  <c r="B24" i="6"/>
  <c r="C25" i="6"/>
  <c r="B25" i="6" s="1"/>
  <c r="A24" i="13" l="1"/>
  <c r="C24" i="13"/>
  <c r="D24" i="13" s="1"/>
  <c r="F24" i="13" s="1"/>
  <c r="B25" i="7"/>
  <c r="B25" i="13" s="1"/>
  <c r="E25" i="13" s="1"/>
  <c r="D26" i="7"/>
  <c r="A25" i="13" l="1"/>
  <c r="C25" i="13"/>
  <c r="D25" i="13" s="1"/>
  <c r="F25" i="13" s="1"/>
  <c r="D27" i="7"/>
  <c r="B26" i="7"/>
  <c r="B26" i="13" s="1"/>
  <c r="E26" i="13" s="1"/>
  <c r="A26" i="13" l="1"/>
  <c r="C26" i="13"/>
  <c r="D26" i="13" s="1"/>
  <c r="F26" i="13" s="1"/>
  <c r="D28" i="7"/>
  <c r="B27" i="7"/>
  <c r="B27" i="13" s="1"/>
  <c r="E27" i="13" s="1"/>
  <c r="A27" i="13" l="1"/>
  <c r="C27" i="13"/>
  <c r="D27" i="13" s="1"/>
  <c r="F27" i="13" s="1"/>
  <c r="D29" i="7"/>
  <c r="B28" i="7"/>
  <c r="B28" i="13" s="1"/>
  <c r="E28" i="13" s="1"/>
  <c r="A28" i="13" l="1"/>
  <c r="C28" i="13"/>
  <c r="D28" i="13" s="1"/>
  <c r="F28" i="13" s="1"/>
  <c r="D30" i="7"/>
  <c r="B29" i="7"/>
  <c r="B29" i="13" s="1"/>
  <c r="E29" i="13" s="1"/>
  <c r="A29" i="13" l="1"/>
  <c r="C29" i="13"/>
  <c r="D29" i="13" s="1"/>
  <c r="F29" i="13" s="1"/>
  <c r="D31" i="7"/>
  <c r="B30" i="7"/>
  <c r="B30" i="13" s="1"/>
  <c r="E30" i="13" s="1"/>
  <c r="A30" i="13" l="1"/>
  <c r="C30" i="13"/>
  <c r="D30" i="13" s="1"/>
  <c r="F30" i="13" s="1"/>
  <c r="D32" i="7"/>
  <c r="D33" i="7" s="1"/>
  <c r="D34" i="7" s="1"/>
  <c r="D35" i="7" s="1"/>
  <c r="D36" i="7" s="1"/>
  <c r="B31" i="7"/>
  <c r="B31" i="13" s="1"/>
  <c r="E31" i="13" s="1"/>
  <c r="A31" i="13" l="1"/>
  <c r="C31" i="13"/>
  <c r="D31" i="13" s="1"/>
  <c r="F31" i="13" s="1"/>
  <c r="B32" i="7"/>
  <c r="B32" i="13" s="1"/>
  <c r="E32" i="13" s="1"/>
  <c r="A32" i="13" l="1"/>
  <c r="C32" i="13"/>
  <c r="D32" i="13" s="1"/>
  <c r="F32" i="13" s="1"/>
  <c r="B33" i="7"/>
  <c r="B33" i="13" s="1"/>
  <c r="E33" i="13" s="1"/>
  <c r="B34" i="7" l="1"/>
  <c r="B34" i="13" s="1"/>
  <c r="E34" i="13" s="1"/>
  <c r="A33" i="13"/>
  <c r="C33" i="13"/>
  <c r="D33" i="13" s="1"/>
  <c r="F33" i="13" s="1"/>
  <c r="C34" i="13" l="1"/>
  <c r="D34" i="13" s="1"/>
  <c r="F34" i="13" s="1"/>
  <c r="A34" i="13"/>
  <c r="B35" i="7"/>
  <c r="B35" i="13" s="1"/>
  <c r="M76" i="16"/>
  <c r="A35" i="13" l="1"/>
  <c r="C35" i="13"/>
  <c r="D35" i="13" s="1"/>
  <c r="E35" i="13"/>
  <c r="B36" i="7"/>
  <c r="B36" i="13" s="1"/>
  <c r="D37" i="7"/>
  <c r="F35" i="13" l="1"/>
  <c r="E36" i="13"/>
  <c r="C36" i="13"/>
  <c r="D36" i="13" s="1"/>
  <c r="F36" i="13" s="1"/>
  <c r="A36" i="13"/>
  <c r="D38" i="7"/>
  <c r="B37" i="7"/>
  <c r="B37" i="13" s="1"/>
  <c r="A37" i="13" l="1"/>
  <c r="E37" i="13"/>
  <c r="C37" i="13"/>
  <c r="D37" i="13" s="1"/>
  <c r="B38" i="7"/>
  <c r="B38" i="13" s="1"/>
  <c r="D39" i="7"/>
  <c r="F37" i="13" l="1"/>
  <c r="A38" i="13"/>
  <c r="C38" i="13"/>
  <c r="D38" i="13" s="1"/>
  <c r="E38" i="13"/>
  <c r="B39" i="7"/>
  <c r="B39" i="13" s="1"/>
  <c r="D40" i="7"/>
  <c r="F38" i="13" l="1"/>
  <c r="A39" i="13"/>
  <c r="C39" i="13"/>
  <c r="D39" i="13" s="1"/>
  <c r="E39" i="13"/>
  <c r="D41" i="7"/>
  <c r="B40" i="7"/>
  <c r="B40" i="13" s="1"/>
  <c r="F39" i="13" l="1"/>
  <c r="E40" i="13"/>
  <c r="C40" i="13"/>
  <c r="D40" i="13" s="1"/>
  <c r="A40" i="13"/>
  <c r="B41" i="7"/>
  <c r="B41" i="13" s="1"/>
  <c r="D42" i="7"/>
  <c r="F40" i="13" l="1"/>
  <c r="A41" i="13"/>
  <c r="E41" i="13"/>
  <c r="C41" i="13"/>
  <c r="D41" i="13" s="1"/>
  <c r="D43" i="7"/>
  <c r="B42" i="7"/>
  <c r="B42" i="13" s="1"/>
  <c r="F41" i="13" l="1"/>
  <c r="A42" i="13"/>
  <c r="C42" i="13"/>
  <c r="D42" i="13" s="1"/>
  <c r="E42" i="13"/>
  <c r="D44" i="7"/>
  <c r="B43" i="7"/>
  <c r="B43" i="13" s="1"/>
  <c r="F42" i="13" l="1"/>
  <c r="A43" i="13"/>
  <c r="E43" i="13"/>
  <c r="C43" i="13"/>
  <c r="D43" i="13" s="1"/>
  <c r="B44" i="7"/>
  <c r="B44" i="13" s="1"/>
  <c r="D45" i="7"/>
  <c r="F43" i="13" l="1"/>
  <c r="E44" i="13"/>
  <c r="C44" i="13"/>
  <c r="D44" i="13" s="1"/>
  <c r="A44" i="13"/>
  <c r="D46" i="7"/>
  <c r="B45" i="7"/>
  <c r="B45" i="13" s="1"/>
  <c r="F44" i="13" l="1"/>
  <c r="A45" i="13"/>
  <c r="E45" i="13"/>
  <c r="C45" i="13"/>
  <c r="D45" i="13" s="1"/>
  <c r="F45" i="13" s="1"/>
  <c r="B46" i="7"/>
  <c r="B46" i="13" s="1"/>
  <c r="D47" i="7"/>
  <c r="A46" i="13" l="1"/>
  <c r="C46" i="13"/>
  <c r="D46" i="13" s="1"/>
  <c r="E46" i="13"/>
  <c r="D48" i="7"/>
  <c r="D49" i="7" s="1"/>
  <c r="B47" i="7"/>
  <c r="B47" i="13" s="1"/>
  <c r="F46" i="13" l="1"/>
  <c r="D50" i="7"/>
  <c r="B49" i="7"/>
  <c r="B49" i="13" s="1"/>
  <c r="C47" i="13"/>
  <c r="D47" i="13" s="1"/>
  <c r="E47" i="13"/>
  <c r="A47" i="13"/>
  <c r="B48" i="7"/>
  <c r="B48" i="13" s="1"/>
  <c r="F47" i="13" l="1"/>
  <c r="E48" i="13"/>
  <c r="C48" i="13"/>
  <c r="D48" i="13"/>
  <c r="F48" i="13" s="1"/>
  <c r="A48" i="13"/>
  <c r="A49" i="13"/>
  <c r="E49" i="13"/>
  <c r="C49" i="13"/>
  <c r="D49" i="13" s="1"/>
  <c r="F49" i="13" s="1"/>
  <c r="B50" i="7"/>
  <c r="B50" i="13" s="1"/>
  <c r="D51" i="7"/>
  <c r="B51" i="7" l="1"/>
  <c r="B51" i="13" s="1"/>
  <c r="D52" i="7"/>
  <c r="B52" i="7" s="1"/>
  <c r="B52" i="13" s="1"/>
  <c r="A50" i="13"/>
  <c r="C50" i="13"/>
  <c r="D50" i="13" s="1"/>
  <c r="E50" i="13"/>
  <c r="F50" i="13" l="1"/>
  <c r="C52" i="13"/>
  <c r="E52" i="13"/>
  <c r="D52" i="13"/>
  <c r="F52" i="13" s="1"/>
  <c r="A52" i="13"/>
  <c r="C51" i="13"/>
  <c r="D51" i="13" s="1"/>
  <c r="E51" i="13"/>
  <c r="A51" i="13"/>
  <c r="F51" i="13" l="1"/>
  <c r="F53" i="13"/>
  <c r="F55" i="13" s="1"/>
</calcChain>
</file>

<file path=xl/comments1.xml><?xml version="1.0" encoding="utf-8"?>
<comments xmlns="http://schemas.openxmlformats.org/spreadsheetml/2006/main">
  <authors>
    <author>HomeUser</author>
  </authors>
  <commentList>
    <comment ref="A15" authorId="0" shapeId="0">
      <text>
        <r>
          <rPr>
            <sz val="8"/>
            <color indexed="81"/>
            <rFont val="Tahoma"/>
            <charset val="222"/>
          </rPr>
          <t xml:space="preserve">
1. ป่วย ลา หนี ขาด ศึกษาต่อ ระหว่างประกาศกฎอัยการศึก
2. ลา พักราชการ  ให้ออกจากราชการไว้ก่อน หนีหรือขาด
    ราชการ โดยไม่ได้รับเงินเดือน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 xml:space="preserve">     
  กรอกจำนวนปี ที่ไม่มีสิทธินับเวลา
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 xml:space="preserve">
  กรอกจำนวนเดือนที่ไม่มีสิทธินับเวลา
ควรกรอกไม่เกิน 72 เดือน หากจำนวนเดือนเกิน 72 เดือนให้ปัดไปกรอกเป็นจำนวนปี ที่ช่องปีแทน  
</t>
        </r>
        <r>
          <rPr>
            <b/>
            <u/>
            <sz val="8"/>
            <color indexed="81"/>
            <rFont val="Tahoma"/>
            <family val="2"/>
          </rPr>
          <t>หากกรอกเกิน 72 เดือนในช่องนี้ จะทำให้ผลการคำนวณไม่ถูกต้อง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 xml:space="preserve"> 
กรอกจำนวนวันทีไม่มีสิทธินับเวลา โปรดกรอกไม่เกิน 180 วัน หากเกินให้ปัดไปกรอกจำนวนเดือนแทน  
</t>
        </r>
        <r>
          <rPr>
            <b/>
            <u/>
            <sz val="8"/>
            <color indexed="81"/>
            <rFont val="Tahoma"/>
            <family val="2"/>
          </rPr>
          <t>หากกรอกช่องนี้เกิน 180 วัน จะทำให้ผลการคำนวณคลาดเคลื่อน</t>
        </r>
      </text>
    </comment>
  </commentList>
</comments>
</file>

<file path=xl/comments2.xml><?xml version="1.0" encoding="utf-8"?>
<comments xmlns="http://schemas.openxmlformats.org/spreadsheetml/2006/main">
  <authors>
    <author>HomeUser</author>
  </authors>
  <commentList>
    <comment ref="E6" authorId="0" shapeId="0">
      <text>
        <r>
          <rPr>
            <b/>
            <sz val="8"/>
            <color indexed="81"/>
            <rFont val="Tahoma"/>
            <family val="2"/>
          </rPr>
          <t xml:space="preserve">
  1. กรอกวันที่เริ่มนับเวลาราชการ
  2. ใช้รูปแบบวันที่  วว/ดด/ปปปป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 
  ใช้รูปแบบวันที่  วว/ดด/ปปปป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
 1. ใช้รูปแบบวันที่  วว/ดด/ปปปป
 2. ต้องเป็นวันที่ ก่อน วันพ้นจากราชการ 1 วัน
      เช่น วันที่พ้นจากราชการ 1/10/2556 
      ช่องนี้ต้องกรอกวันที่ 30/09/2556 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
เวลาทวีคูณ กฎอัยการศึก ทั่วประเทศ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กรอกตัวเลขจำนวนเดือน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>กรอกตัวเลขจำนวนวัน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เวลาทวีคูณ กฎอัยการศึก ทั่วประเทศ</t>
        </r>
      </text>
    </comment>
    <comment ref="L10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กรอกตัวเลขจำนวนเดือน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Q10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กรอกตัวเลขจำนวนวัน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 xml:space="preserve">บรรทัดนี้ ใช้สำหรับ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-เวลาราชการปกติ </t>
        </r>
        <r>
          <rPr>
            <sz val="8"/>
            <color indexed="81"/>
            <rFont val="Tahoma"/>
            <family val="2"/>
          </rPr>
          <t xml:space="preserve">กรณีมีเวลาราชการที่ไม่ต่อเนื่องกับบรรทัดแรก เช่น ช่วงเวลาที่เป็นทหารกองประจำการ (ทหารเกณฑ์) และหากช่วงเวลานั้นเป็นช่วงที่มีสิทธินับเวลาราชการต่อเนื่อง ก็นำมากรอกในบรรทัดนี้ได้
</t>
        </r>
        <r>
          <rPr>
            <b/>
            <u/>
            <sz val="8"/>
            <color indexed="81"/>
            <rFont val="Tahoma"/>
            <family val="2"/>
          </rPr>
          <t>- เวลาทวีคูณ</t>
        </r>
        <r>
          <rPr>
            <sz val="8"/>
            <color indexed="81"/>
            <rFont val="Tahoma"/>
            <family val="2"/>
          </rPr>
          <t xml:space="preserve"> เช่น
1.เวลาทวีคูณ ปราบปรามคอมมิวนิสต์
2.เวลาทวีคูณ ปฏิบัติราชการการลับ
3.เวลาทวีคูณ ปฏิบัติราชการสงครามเวียดนาม
4.เวลาทวีคูณ ปฏิบัติราชการพิเศษ
5.เวลาทวีคูณ ปฏิบัติราชการตามแผนป้องกันประแทศ
6.เวลาทวีคูณอื่นๆ เช่น เวลาทวีคูณ พศ.2534 (ในเขต 21จังหวัด)
  </t>
        </r>
        <r>
          <rPr>
            <b/>
            <u/>
            <sz val="8"/>
            <color indexed="81"/>
            <rFont val="Tahoma"/>
            <family val="2"/>
          </rPr>
          <t>ทั้งนี้เวลาราชการทวีคูณที่นำมาคำนวณ หากมีเวลาซ้ำซ้อนกัน  ให้นับเวลาเพียงช่วงเดียว เท่านั้น</t>
        </r>
      </text>
    </comment>
    <comment ref="E11" authorId="0" shapeId="0">
      <text>
        <r>
          <rPr>
            <sz val="8"/>
            <color indexed="81"/>
            <rFont val="Tahoma"/>
            <family val="2"/>
          </rPr>
          <t xml:space="preserve">
ใช้รูปแบบวันที่ วว/ดด/ปปปป</t>
        </r>
      </text>
    </comment>
    <comment ref="H11" authorId="0" shapeId="0">
      <text>
        <r>
          <rPr>
            <sz val="8"/>
            <color indexed="81"/>
            <rFont val="Tahoma"/>
            <family val="2"/>
          </rPr>
          <t xml:space="preserve">
ใช้รูปแบบวันที่ วว/ดด/ปปปป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 xml:space="preserve">
บรรทัดนี้ ใช้สำหรับกรณีมีเวลาทวีคูณหลายช่วง     ให้นำเวลาแต่ละช่วงรวมกัน </t>
        </r>
        <r>
          <rPr>
            <u/>
            <sz val="8"/>
            <color indexed="81"/>
            <rFont val="Tahoma"/>
            <family val="2"/>
          </rPr>
          <t>ที่ไม่ซ้ำซ้อนกับเวลาทวีคูณช่วงอื่นๆ</t>
        </r>
        <r>
          <rPr>
            <sz val="8"/>
            <color indexed="81"/>
            <rFont val="Tahoma"/>
            <family val="2"/>
          </rPr>
          <t xml:space="preserve"> แล้วนำตัวเลขมากรอกในบรรทัดนี้ได้โดยไม่ต้องระบุช่วงเวลา
</t>
        </r>
      </text>
    </comment>
    <comment ref="I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กรอกตัวเลขจำนวนปี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L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กรอกตัวเลขจำนวนเดือน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Q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กรอกตัวเลขจำนวนวัน เท่านั้น (เฉพาะที่มีสิทธินับเวลาเป็นทวีคูณ หลังจากหักวันลาในช่วงทวีคูณออกแล้ว)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</rPr>
          <t xml:space="preserve">การกรอกช่อง </t>
        </r>
        <r>
          <rPr>
            <b/>
            <i/>
            <u/>
            <sz val="8"/>
            <color indexed="81"/>
            <rFont val="Tahoma"/>
            <family val="2"/>
          </rPr>
          <t xml:space="preserve">ตั้งแต่
</t>
        </r>
        <r>
          <rPr>
            <b/>
            <sz val="8"/>
            <color indexed="81"/>
            <rFont val="Tahoma"/>
            <family val="2"/>
          </rPr>
          <t xml:space="preserve">      ใช้รูปแบบวันที่  วว/ดด/ปปปป
โดยทุกบรรทัดต้องกรอกเป็นวันที่ 1 ของเดือนเสมอ
เช่น 01/10/2552</t>
        </r>
        <r>
          <rPr>
            <sz val="8"/>
            <color indexed="81"/>
            <rFont val="Tahoma"/>
            <family val="2"/>
          </rPr>
          <t xml:space="preserve">
  </t>
        </r>
      </text>
    </comment>
    <comment ref="C28" authorId="0" shapeId="0">
      <text>
        <r>
          <rPr>
            <u/>
            <sz val="8"/>
            <color indexed="81"/>
            <rFont val="Tahoma"/>
            <family val="2"/>
          </rPr>
          <t>การกรอก ช่อง ถึง</t>
        </r>
        <r>
          <rPr>
            <sz val="8"/>
            <color indexed="81"/>
            <rFont val="Tahoma"/>
            <family val="2"/>
          </rPr>
          <t xml:space="preserve">  
  1. ใช้รูปแบบวันที่   วว/ดด/ปปปป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  2.  ทุกบรรทัดของช่องนี้ ต้องกรอกเป็นวันที่สิ้นเดือนของรอบเสมอ
เช่น 31/03/2553   </t>
        </r>
        <r>
          <rPr>
            <u/>
            <sz val="8"/>
            <color indexed="81"/>
            <rFont val="Tahoma"/>
            <family val="2"/>
          </rPr>
          <t>แต่โปรแกรมนี้มีข้อจำกัด</t>
        </r>
        <r>
          <rPr>
            <sz val="8"/>
            <color indexed="81"/>
            <rFont val="Tahoma"/>
            <family val="2"/>
          </rPr>
          <t xml:space="preserve">คือ </t>
        </r>
        <r>
          <rPr>
            <u/>
            <sz val="8"/>
            <color indexed="81"/>
            <rFont val="Tahoma"/>
            <family val="2"/>
          </rPr>
          <t>เฉพาะ</t>
        </r>
        <r>
          <rPr>
            <sz val="8"/>
            <color indexed="81"/>
            <rFont val="Tahoma"/>
            <family val="2"/>
          </rPr>
          <t xml:space="preserve">กรณี ช่องถึงเป็น เดือน </t>
        </r>
        <r>
          <rPr>
            <u/>
            <sz val="8"/>
            <color indexed="81"/>
            <rFont val="Tahoma"/>
            <family val="2"/>
          </rPr>
          <t>มกราคม</t>
        </r>
        <r>
          <rPr>
            <sz val="8"/>
            <color indexed="81"/>
            <rFont val="Tahoma"/>
            <family val="2"/>
          </rPr>
          <t xml:space="preserve"> โปรดกรอกเป็นวันที่ </t>
        </r>
        <r>
          <rPr>
            <u/>
            <sz val="8"/>
            <color indexed="81"/>
            <rFont val="Tahoma"/>
            <family val="2"/>
          </rPr>
          <t>30/01</t>
        </r>
        <r>
          <rPr>
            <sz val="8"/>
            <color indexed="81"/>
            <rFont val="Tahoma"/>
            <family val="2"/>
          </rPr>
          <t>/2553</t>
        </r>
        <r>
          <rPr>
            <u/>
            <sz val="8"/>
            <color indexed="81"/>
            <rFont val="Tahoma"/>
            <family val="2"/>
          </rPr>
          <t xml:space="preserve"> เท่านั้น</t>
        </r>
        <r>
          <rPr>
            <sz val="8"/>
            <color indexed="81"/>
            <rFont val="Tahoma"/>
            <family val="2"/>
          </rPr>
          <t xml:space="preserve"> หากกรอกเป็นวันที่ 31 ระบบจะคำนวณเดือนคลาดเคลื่อน
กรณีที่ เงินเดือนเท่าเดิมเกิน 12 เดือน 
      ให้กรอกช่อง  ถึง ได้ไม่เกิน 12 เดือน  แล้วไปกรอกเดือนที่เกินในบรรทัดถัดไป</t>
        </r>
      </text>
    </comment>
    <comment ref="H28" authorId="0" shapeId="0">
      <text>
        <r>
          <rPr>
            <b/>
            <sz val="8"/>
            <color indexed="81"/>
            <rFont val="Tahoma"/>
            <family val="2"/>
          </rPr>
          <t xml:space="preserve">
โปรดกรอกอัตราเงินเดือนตามแฟ้มประวัติ/กพ.7  หากยังไม่มีคำสั่งเลื่อนเงินเดือน ท่านสามารถ ประมาณเงินเดือนล่วงหน้าเองได้  โดยใช้ฟอร์มสูตรประมาณการเงินเดือน ซึ่งอยู่ใน Sheet ถัดไป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</rPr>
          <t xml:space="preserve">
   กรอกจำนวนเงินลด (ถ้ามี)</t>
        </r>
        <r>
          <rPr>
            <sz val="8"/>
            <color indexed="81"/>
            <rFont val="Tahoma"/>
            <family val="2"/>
          </rPr>
          <t xml:space="preserve">
  </t>
        </r>
      </text>
    </comment>
    <comment ref="L28" authorId="0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กรอกจำนวนเงินเพิ่ม (ถ้ามี) เช่น 
 พสร.
 พ.ด.ร.ส.
 พ.น.บ.
 พ.ด.ร. 
 พ.ป.ผ.
 พ.ล.ฐ.
 พ.ป.อ.
 พ.ค.บ.
 ฯ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0" authorId="0" shapeId="0">
      <text>
        <r>
          <rPr>
            <b/>
            <sz val="8"/>
            <color indexed="81"/>
            <rFont val="Tahoma"/>
            <family val="2"/>
          </rPr>
          <t xml:space="preserve">
คำนวณโดยประมาณการว่า หากเป็นสมาชิก กบข.ต่อไป
  จนกระทั่งพ้นจากราชการ จะได้รับเงินประเดิม  เงินชดเชย เงินสมทบ และผลประโยชน์ของเงินดังกล่าว เป็นจำนวนเท่าไร แล้วนำมากรอกในช่องนี้
โดยดูจากเอกสารที่ กบข.ส่งให้ ณ สิ้นปีล่าสุด แล้วบวกเพิ่ม ดังนี้
 - เงินชดเชย บวกเพิ่ม เดือนละ 2% ของเงินเดือน ถึงวันก่อนพ้นราชการ
 - เงินสมทบ บวกเพิ่ม ดือนละ 3%ของเงินเดือน ถึงวันก่อนพ้นราชการ
 -ผลประโยชน์ของเงินดังกล่าว ต้องประมาณการเพิ่มเอง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HomeUser</author>
  </authors>
  <commentList>
    <comment ref="E6" authorId="0" shapeId="0">
      <text>
        <r>
          <rPr>
            <b/>
            <sz val="8"/>
            <color indexed="81"/>
            <rFont val="Tahoma"/>
            <family val="2"/>
          </rPr>
          <t xml:space="preserve">
  1. กรอกวันที่เริ่มนับเวลาราชการ
  2. ใช้รูปแบบวันที่  วว/ดด/ปปปป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 
  ใช้รูปแบบวันที่  วว/ดด/ปปปป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
 1. ใช้รูปแบบวันที่  วว/ดด/ปปปป
 2. ต้องเป็นวันที่ ก่อน วันพ้นจากราชการ 1 วัน
      เช่น วันที่พ้นจากราชการ 1/10/2556 
      ช่องนี้ต้องกรอกวันที่ 30/09/2556 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
เวลาทวีคูณ กฎอัยการศึก ทั่วราชอาณาจักร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
กรอกตัวเลขจำนวนเดือน 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 xml:space="preserve">กรอกตัวเลขจำนวนวัน 
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เวลาทวีคูณ กฎอัยการศึก ทั่วราชอาณาจักร</t>
        </r>
      </text>
    </comment>
    <comment ref="L10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กรอกตัวเลขจำนวนเดือน</t>
        </r>
      </text>
    </comment>
    <comment ref="Q10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กรอกตัวเลขจำนวนวัน 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 xml:space="preserve">บรรทัดนี้ ใช้สำหรับ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-เวลาราชการปกติ </t>
        </r>
        <r>
          <rPr>
            <sz val="8"/>
            <color indexed="81"/>
            <rFont val="Tahoma"/>
            <family val="2"/>
          </rPr>
          <t xml:space="preserve">กรณีมีเวลาราชการที่ไม่ต่อเนื่องกับบรรทัดแรก เช่น ช่วงเวลาที่เป็นทหารกองประจำการ (ทหารเกณฑ์) และหากช่วงเวลานั้นเป็นช่วงที่มีสิทธินับเวลาราชการต่อเนื่อง ก็นำมากรอกในบรรทัดนี้ได้
</t>
        </r>
        <r>
          <rPr>
            <b/>
            <u/>
            <sz val="8"/>
            <color indexed="81"/>
            <rFont val="Tahoma"/>
            <family val="2"/>
          </rPr>
          <t>- เวลาทวีคูณ</t>
        </r>
        <r>
          <rPr>
            <sz val="8"/>
            <color indexed="81"/>
            <rFont val="Tahoma"/>
            <family val="2"/>
          </rPr>
          <t xml:space="preserve"> เช่น
1.เวลาทวีคูณ ปราบปรามคอมมิวนิสต์
2.เวลาทวีคูณ ปฏิบัติราชการการลับ
3.เวลาทวีคูณ ปฏิบัติราชการสงครามเวียดนาม
4.เวลาทวีคูณ ปฏิบัติราชการพิเศษ
5.เวลาทวีคูณ ปฏิบัติราชการตามแผนป้องกันประแทศ
6.เวลาทวีคูณอื่นๆ เช่น เวลาทวีคูณ พศ.2534 (ในเขต 21จังหวัด)
  </t>
        </r>
        <r>
          <rPr>
            <b/>
            <u/>
            <sz val="8"/>
            <color indexed="81"/>
            <rFont val="Tahoma"/>
            <family val="2"/>
          </rPr>
          <t>ทั้งนี้เวลาราชการทวีคูณที่นำมาคำนวณ หากมีเวลาซ้ำซ้อนกัน  ให้นับเวลาเพียงช่วงเดียว เท่านั้น</t>
        </r>
      </text>
    </comment>
    <comment ref="E11" authorId="0" shapeId="0">
      <text>
        <r>
          <rPr>
            <sz val="8"/>
            <color indexed="81"/>
            <rFont val="Tahoma"/>
            <family val="2"/>
          </rPr>
          <t xml:space="preserve">
ใช้รูปแบบวันที่ วว/ดด/ปปปป</t>
        </r>
      </text>
    </comment>
    <comment ref="H11" authorId="0" shapeId="0">
      <text>
        <r>
          <rPr>
            <sz val="8"/>
            <color indexed="81"/>
            <rFont val="Tahoma"/>
            <family val="2"/>
          </rPr>
          <t xml:space="preserve">
ใช้รูปแบบวันที่ วว/ดด/ปปปป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 xml:space="preserve">
บรรทัดนี้ ใช้สำหรับกรณีมีเวลาทวีคูณหลายช่วง     ให้นำเวลาแต่ละช่วงรวมกัน </t>
        </r>
        <r>
          <rPr>
            <u/>
            <sz val="8"/>
            <color indexed="81"/>
            <rFont val="Tahoma"/>
            <family val="2"/>
          </rPr>
          <t>ที่ไม่ซ้ำซ้อนกับเวลาทวีคูณช่วงอื่นๆ</t>
        </r>
        <r>
          <rPr>
            <sz val="8"/>
            <color indexed="81"/>
            <rFont val="Tahoma"/>
            <family val="2"/>
          </rPr>
          <t xml:space="preserve"> แล้วนำตัวเลขมากรอกในบรรทัดนี้ได้โดยไม่ต้องระบุช่วงเวลา
</t>
        </r>
      </text>
    </comment>
    <comment ref="I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กรอกตัวเลขจำนวนปี </t>
        </r>
      </text>
    </comment>
    <comment ref="L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กรอกตัวเลขจำนวนเดือน </t>
        </r>
      </text>
    </comment>
    <comment ref="Q12" authorId="0" shapeId="0">
      <text>
        <r>
          <rPr>
            <sz val="8"/>
            <color indexed="81"/>
            <rFont val="Tahoma"/>
            <family val="2"/>
          </rPr>
          <t xml:space="preserve">
กรอกตัวเลขจำนวนวัน </t>
        </r>
      </text>
    </comment>
    <comment ref="B21" authorId="0" shapeId="0">
      <text>
        <r>
          <rPr>
            <sz val="8"/>
            <color indexed="81"/>
            <rFont val="Tahoma"/>
            <charset val="222"/>
          </rPr>
          <t xml:space="preserve">
1. ป่วย ลา หนี ขาด ศึกษาต่อ ระหว่างประกาศกฎอัยการศึก
2. ลา พักราชการ  ให้ออกจากราชการไว้ก่อน หนีหรือขาด
    ราชการ โดยไม่ได้รับเงินเดือน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 xml:space="preserve">     
  กรอกจำนวนปี ที่ไม่มีสิทธินับเวลา
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 xml:space="preserve">
  กรอกจำนวนเดือนที่ไม่มีสิทธินับเวลา
ควรกรอกไม่เกิน 72 เดือน หากจำนวนเดือนเกิน 72 เดือนให้ปัดไปกรอกเป็นจำนวนปี ที่ช่องปีแทน  
</t>
        </r>
        <r>
          <rPr>
            <b/>
            <u/>
            <sz val="8"/>
            <color indexed="81"/>
            <rFont val="Tahoma"/>
            <family val="2"/>
          </rPr>
          <t>หากกรอกเกิน 72 เดือนในช่องนี้ จะทำให้ผลการคำนวณไม่ถูกต้อง</t>
        </r>
      </text>
    </comment>
    <comment ref="Q21" authorId="0" shapeId="0">
      <text>
        <r>
          <rPr>
            <b/>
            <sz val="8"/>
            <color indexed="81"/>
            <rFont val="Tahoma"/>
            <family val="2"/>
          </rPr>
          <t xml:space="preserve"> 
กรอกจำนวนวันทีไม่มีสิทธินับเวลา โปรดกรอกไม่เกิน 180 วัน หากเกินให้ปัดไปกรอกจำนวนเดือนแทน  
</t>
        </r>
        <r>
          <rPr>
            <b/>
            <u/>
            <sz val="8"/>
            <color indexed="81"/>
            <rFont val="Tahoma"/>
            <family val="2"/>
          </rPr>
          <t>หากกรอกช่องนี้เกิน 180 วัน จะทำให้ผลการคำนวณคลาดเคลื่อน</t>
        </r>
      </text>
    </comment>
    <comment ref="B41" authorId="0" shapeId="0">
      <text>
        <r>
          <rPr>
            <b/>
            <sz val="8"/>
            <color indexed="81"/>
            <rFont val="Tahoma"/>
            <family val="2"/>
          </rPr>
          <t xml:space="preserve">การกรอกช่อง </t>
        </r>
        <r>
          <rPr>
            <b/>
            <i/>
            <u/>
            <sz val="8"/>
            <color indexed="81"/>
            <rFont val="Tahoma"/>
            <family val="2"/>
          </rPr>
          <t xml:space="preserve">ตั้งแต่
</t>
        </r>
        <r>
          <rPr>
            <b/>
            <sz val="8"/>
            <color indexed="81"/>
            <rFont val="Tahoma"/>
            <family val="2"/>
          </rPr>
          <t xml:space="preserve">      ใช้รูปแบบวันที่  วว/ดด/ปปปป
โดยทุกบรรทัดต้องกรอกเป็นวันที่ 1 ของเดือนเสมอ
เช่น 01/10/2552</t>
        </r>
        <r>
          <rPr>
            <sz val="8"/>
            <color indexed="81"/>
            <rFont val="Tahoma"/>
            <family val="2"/>
          </rPr>
          <t xml:space="preserve">
  </t>
        </r>
      </text>
    </comment>
    <comment ref="C41" authorId="0" shapeId="0">
      <text>
        <r>
          <rPr>
            <u/>
            <sz val="8"/>
            <color indexed="81"/>
            <rFont val="Tahoma"/>
            <family val="2"/>
          </rPr>
          <t>การกรอก ช่อง ถึง</t>
        </r>
        <r>
          <rPr>
            <sz val="8"/>
            <color indexed="81"/>
            <rFont val="Tahoma"/>
            <family val="2"/>
          </rPr>
          <t xml:space="preserve">  
  1. ใช้รูปแบบวันที่   วว/ดด/ปปปป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  2.  ทุกบรรทัดของช่องนี้ ต้องกรอกเป็นวันที่สิ้นเดือนของรอบเสมอ
เช่น 31/03/2553   </t>
        </r>
        <r>
          <rPr>
            <u/>
            <sz val="8"/>
            <color indexed="81"/>
            <rFont val="Tahoma"/>
            <family val="2"/>
          </rPr>
          <t>แต่โปรแกรมนี้มีข้อจำกัด</t>
        </r>
        <r>
          <rPr>
            <sz val="8"/>
            <color indexed="81"/>
            <rFont val="Tahoma"/>
            <family val="2"/>
          </rPr>
          <t xml:space="preserve">คือ </t>
        </r>
        <r>
          <rPr>
            <u/>
            <sz val="8"/>
            <color indexed="81"/>
            <rFont val="Tahoma"/>
            <family val="2"/>
          </rPr>
          <t>เฉพาะ</t>
        </r>
        <r>
          <rPr>
            <sz val="8"/>
            <color indexed="81"/>
            <rFont val="Tahoma"/>
            <family val="2"/>
          </rPr>
          <t xml:space="preserve">กรณี ช่องถึงเป็น เดือน </t>
        </r>
        <r>
          <rPr>
            <u/>
            <sz val="8"/>
            <color indexed="81"/>
            <rFont val="Tahoma"/>
            <family val="2"/>
          </rPr>
          <t>มกราคม</t>
        </r>
        <r>
          <rPr>
            <sz val="8"/>
            <color indexed="81"/>
            <rFont val="Tahoma"/>
            <family val="2"/>
          </rPr>
          <t xml:space="preserve"> โปรดกรอกเป็นวันที่ </t>
        </r>
        <r>
          <rPr>
            <u/>
            <sz val="8"/>
            <color indexed="81"/>
            <rFont val="Tahoma"/>
            <family val="2"/>
          </rPr>
          <t>30/01</t>
        </r>
        <r>
          <rPr>
            <sz val="8"/>
            <color indexed="81"/>
            <rFont val="Tahoma"/>
            <family val="2"/>
          </rPr>
          <t>/2553</t>
        </r>
        <r>
          <rPr>
            <u/>
            <sz val="8"/>
            <color indexed="81"/>
            <rFont val="Tahoma"/>
            <family val="2"/>
          </rPr>
          <t xml:space="preserve"> เท่านั้น</t>
        </r>
        <r>
          <rPr>
            <sz val="8"/>
            <color indexed="81"/>
            <rFont val="Tahoma"/>
            <family val="2"/>
          </rPr>
          <t xml:space="preserve"> หากกรอกเป็นวันที่ 31 ระบบจะคำนวณเดือนคลาดเคลื่อน
กรณีที่ เงินเดือนเท่าเดิมเกิน 12 เดือน 
      ให้กรอกช่อง  ถึง ได้ไม่เกิน 12 เดือน  แล้วไปกรอกเดือนที่เกินในบรรทัดถัดไป</t>
        </r>
      </text>
    </comment>
    <comment ref="H41" authorId="0" shapeId="0">
      <text>
        <r>
          <rPr>
            <b/>
            <sz val="8"/>
            <color indexed="81"/>
            <rFont val="Tahoma"/>
            <family val="2"/>
          </rPr>
          <t xml:space="preserve">
โปรดกรอกอัตราเงินเดือนตามแฟ้มประวัติ/กพ.7  หากยังไม่มีคำสั่งเลื่อนเงินเดือน ท่านสามารถ ประมาณเงินเดือนล่วงหน้าเองได้  โดยใช้ฟอร์มสูตรประมาณการเงินเดือน ซึ่งอยู่ใน Sheet ถัดไป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1" authorId="0" shapeId="0">
      <text>
        <r>
          <rPr>
            <b/>
            <sz val="8"/>
            <color indexed="81"/>
            <rFont val="Tahoma"/>
            <family val="2"/>
          </rPr>
          <t xml:space="preserve">
   กรอกจำนวนเงินลด (ถ้ามี)</t>
        </r>
        <r>
          <rPr>
            <sz val="8"/>
            <color indexed="81"/>
            <rFont val="Tahoma"/>
            <family val="2"/>
          </rPr>
          <t xml:space="preserve">
  </t>
        </r>
      </text>
    </comment>
    <comment ref="L41" authorId="0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กรอกจำนวนเงินเพิ่ม (ถ้ามี) เช่น 
 พสร.
 พ.ด.ร.ส.
 พ.น.บ.
 พ.ด.ร. 
 พ.ป.ผ.
 พ.ล.ฐ.
 พ.ป.อ.
 พ.ค.บ.
 ฯ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73" authorId="0" shapeId="0">
      <text>
        <r>
          <rPr>
            <b/>
            <sz val="8"/>
            <color indexed="81"/>
            <rFont val="Tahoma"/>
            <family val="2"/>
          </rPr>
          <t xml:space="preserve">
คำนวณโดยประมาณการว่า หากเป็นสมาชิก กบข.ต่อไป
  จนกระทั่งพ้นจากราชการ จะได้รับเงินประเดิม  เงินชดเชย เงินสมทบ และผลประโยชน์ของเงินดังกล่าว เป็นจำนวนเท่าไร แล้วนำมากรอกในช่องนี้
โดยดูจากเอกสารที่ กบข.ส่งให้ ณ สิ้นปีล่าสุด แล้วบวกเพิ่ม ดังนี้
 - เงินชดเชย บวกเพิ่ม เดือนละ 2% ของเงินเดือน ถึงวันก่อนพ้นราชการ
 - เงินสมทบ บวกเพิ่ม ดือนละ 3%ของเงินเดือน ถึงวันก่อนพ้นราชการ
 -ผลประโยชน์ของเงินดังกล่าว ต้องประมาณการเพิ่มเอง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HomeUser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 xml:space="preserve">
   </t>
        </r>
        <r>
          <rPr>
            <b/>
            <sz val="8"/>
            <color indexed="81"/>
            <rFont val="Tahoma"/>
            <family val="2"/>
          </rPr>
          <t>กรอกอัตราเงินเดือนปัจจุบัน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 xml:space="preserve">
    1. กรอกวันที่มีผลการเลื่อนเงินเดือน ถัดจาก รอบเงินเดือนปัจจุบัน
เช่น  เงินเดือนปัจจุบัน เป็นอัตรา ณ วันที่ 01/04/2556  ช่องนี้จะต้องกรอกเป็น วันที่ 01/10/2556 เป็นต้น
    2. ใช้รูปแบบวันที่  วว/ดด/ปปปป
เช่น 01/10/2556
  </t>
        </r>
      </text>
    </comment>
    <comment ref="A7" authorId="0" shapeId="0">
      <text>
        <r>
          <rPr>
            <sz val="8"/>
            <color indexed="81"/>
            <rFont val="Tahoma"/>
            <family val="2"/>
          </rPr>
          <t xml:space="preserve">
     1. กรอกวันที่มีผลการเลื่อนเงินเดือน ถัดจากการเลื่อนเงินเดือนก่อนบรรทัดนี้
     2. ดำเนินการในบรรทัดต่อไป จนถึงการเลื่อนเงินเดือน</t>
        </r>
        <r>
          <rPr>
            <u/>
            <sz val="8"/>
            <color indexed="81"/>
            <rFont val="Tahoma"/>
            <family val="2"/>
          </rPr>
          <t xml:space="preserve">ครั้งสุดท้ายก่อนพ้นจากราชการ  </t>
        </r>
      </text>
    </comment>
  </commentList>
</comments>
</file>

<file path=xl/comments5.xml><?xml version="1.0" encoding="utf-8"?>
<comments xmlns="http://schemas.openxmlformats.org/spreadsheetml/2006/main">
  <authors>
    <author>HomeUser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 xml:space="preserve">
   </t>
        </r>
        <r>
          <rPr>
            <b/>
            <sz val="8"/>
            <color indexed="81"/>
            <rFont val="Tahoma"/>
            <family val="2"/>
          </rPr>
          <t>กรอกวันที่ 01/01/ พ.ศ. ปัจจุบัน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</rPr>
          <t xml:space="preserve">
กรอกอัตราเงินเดือน ณ วันที่ 1 มกราคม ของปีปัจจุบัน
</t>
        </r>
      </text>
    </comment>
    <comment ref="A5" authorId="0" shapeId="0">
      <text>
        <r>
          <rPr>
            <sz val="8"/>
            <color indexed="81"/>
            <rFont val="Tahoma"/>
            <family val="2"/>
          </rPr>
          <t xml:space="preserve"> 
   </t>
        </r>
        <r>
          <rPr>
            <b/>
            <sz val="8"/>
            <color indexed="81"/>
            <rFont val="Tahoma"/>
            <family val="2"/>
          </rPr>
          <t>กรอก วัน เดือน ปี      
   ณ วันที่มีผลการเลื่อนเงินเดือนปัจจุบัน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</rPr>
          <t xml:space="preserve">
อัตราเงินเดือนนี้มาจากเงินเดือนปัจจุบัน ในตารางประมาณการเงินเดือน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 xml:space="preserve">
อัตราเงินเดือนนี้ มาจากเงินเดือน ในตารางประมาณการเงินเดือน
 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กรอกจำนวนเงิน จากใบที่กบข.แจ้ง
ปีล่าสุด (ไม่รวมเงินสะสม  สะสมเพิ่มและผลประโยชน์ของเงินดังกล่าว)  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</rPr>
          <t xml:space="preserve">     
   </t>
        </r>
        <r>
          <rPr>
            <b/>
            <sz val="10"/>
            <color indexed="81"/>
            <rFont val="Tahoma"/>
            <family val="2"/>
          </rPr>
          <t xml:space="preserve"> ยอดรวมช่องนี้  ยังไม่รวมผลประโยชน์ที่เพิ่มขึ้น 
เมื่อท่านประมาณผลประโยชน์เพิ่มได้เท่าไร  ให้นำ
มารวมกับยอดนี้ แล้วนำไปกรอก ในส่วนท้ายของ Sheet ฟอร์สูตรเทียบบำนาญ เพื่อประกอบการตัดสินใจต่อไป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<sst xmlns="http://schemas.openxmlformats.org/spreadsheetml/2006/main" count="994" uniqueCount="230">
  <si>
    <t>ตัวอย่าง สำหรับข้าราชการสมาชิก กบข.</t>
  </si>
  <si>
    <r>
      <t xml:space="preserve">วิธีคำนวณเปรียบเทียบบำนาญกบข. กับ บำนาญตาม พรบ.2494  </t>
    </r>
    <r>
      <rPr>
        <b/>
        <sz val="14"/>
        <color rgb="FFFF0000"/>
        <rFont val="Tahoma"/>
        <family val="2"/>
      </rPr>
      <t>"โดยประมาณ"</t>
    </r>
  </si>
  <si>
    <t>ชื่อ-นามสกุล</t>
  </si>
  <si>
    <t>วันที่เริ่มปฎิบัติราชการ</t>
  </si>
  <si>
    <t>วันที่พ้นจากราชการ</t>
  </si>
  <si>
    <t>เวลาราชการ</t>
  </si>
  <si>
    <t>ตั้งแต่</t>
  </si>
  <si>
    <t>ถึง</t>
  </si>
  <si>
    <t xml:space="preserve">ปี  </t>
  </si>
  <si>
    <t>เดือน</t>
  </si>
  <si>
    <t xml:space="preserve">วัน </t>
  </si>
  <si>
    <t>เวลาปกติ</t>
  </si>
  <si>
    <t>เวลาทวีคูณ (7ต.ค.19-05ม.ค.20)   3ด.</t>
  </si>
  <si>
    <t>เวลาทวีคูณ (23ก.พ.34-02พ.ค.34) 2ด.8ว.</t>
  </si>
  <si>
    <t>เวลาราชการหรือทวีคูณอื่น ระบุช่วงเวลา (ถ้ามี)</t>
  </si>
  <si>
    <t>เวลาทวีคูณอื่น ไม่ระบุช่วงเวลา (ถ้ามี)</t>
  </si>
  <si>
    <t>รวมเวลาราชการ</t>
  </si>
  <si>
    <t>นับให้</t>
  </si>
  <si>
    <t>ปี</t>
  </si>
  <si>
    <t>* การคำนวณเวลาราชการเพื่อคำนวณบำนาญ กบข.  =  ปี + (เดือน/12 ) + (วัน/360)                                          =</t>
  </si>
  <si>
    <t>* การคำนวณเวลาราชการเพี่อคำนวณบำนาญตาม พรบ.2494 เศษของปี ถ้าถึง 6 เดือน ให้ปัดเป็น 1 ปี  ถ้าไม่ถึงให้ปัดทิ้ง  =</t>
  </si>
  <si>
    <t>* กรณีวันเริ่มนับเวลาราชการ หรือวันที่พ้นจากราชการเป็นเดือนที่มี 28 29หรือ31 วัน จะคำนวณให้ 30 วัน จึงทำให้เวลาคลาดเคลื่อนไป 1-3 วัน</t>
  </si>
  <si>
    <t>เงินเดือนเฉลี่ย 60 เดือนสุดท้าย   (ประมาณการเงินเดือนจนถึงเดือนที่จะพ้นจากราชการหรือเดือนก่อนพ้นจากราชการ แล้วแต่กรณี)</t>
  </si>
  <si>
    <t>จำนวนเดือน</t>
  </si>
  <si>
    <t>เงินเดือน/เดือน</t>
  </si>
  <si>
    <t>เงินลด</t>
  </si>
  <si>
    <t>เงินเพิ่ม</t>
  </si>
  <si>
    <t>เงินเดือน</t>
  </si>
  <si>
    <t>รวมเป็นเงิน (บาท)</t>
  </si>
  <si>
    <t xml:space="preserve">*** รวมจำนวนเดือน </t>
  </si>
  <si>
    <t xml:space="preserve">*** ต้องเท่ากับ 60 เดือนเท่านั้น  </t>
  </si>
  <si>
    <t>เงินเดือนเฉลี่ยว 60 เดือน</t>
  </si>
  <si>
    <t>เงินเดือนเฉลี่ย 60 เดือน                    (</t>
  </si>
  <si>
    <t>/</t>
  </si>
  <si>
    <t>60   )</t>
  </si>
  <si>
    <t xml:space="preserve"> =</t>
  </si>
  <si>
    <t xml:space="preserve">70% ของเงินเดือนเฉลี่ย   </t>
  </si>
  <si>
    <t>)  =</t>
  </si>
  <si>
    <t>70% ของเงินเดือนเฉลี่ย                   (</t>
  </si>
  <si>
    <t>X</t>
  </si>
  <si>
    <t>70 /100  )</t>
  </si>
  <si>
    <t>สูตรการคำนวณบำนาญ กบข.</t>
  </si>
  <si>
    <t xml:space="preserve">(เงินเดือนเฉลี่ย 60 เดือน  X  เวลาราชการแบบบำนาญกบข. )   /   50  </t>
  </si>
  <si>
    <t>บาท ต่อเดือน</t>
  </si>
  <si>
    <t xml:space="preserve">*** บำนาญสมาชิก กบข.  จะต้องไม่เกิน 70% ของเงินเดือนเฉลี่ย 60 เดือนสุดท้าย   </t>
  </si>
  <si>
    <t xml:space="preserve"> (เงินเดือนสุดท้าย  X  เวลาราชการแบบบำนาญ พรบ.2494 ) /  50  </t>
  </si>
  <si>
    <t xml:space="preserve">   =</t>
  </si>
  <si>
    <t>สรุปโดยประมาณ</t>
  </si>
  <si>
    <t xml:space="preserve"> -</t>
  </si>
  <si>
    <t>) =</t>
  </si>
  <si>
    <t xml:space="preserve">  บาท  ต่อเดือน</t>
  </si>
  <si>
    <t xml:space="preserve">  บาท</t>
  </si>
  <si>
    <t>กรณีเป็นสมาชิกกบข.ถือว่าเป็นการได้รับบำนาญมาใช้ล่วงหน้าเดือนละ</t>
  </si>
  <si>
    <t>บาท เป็นเวลาประมาณ</t>
  </si>
  <si>
    <t xml:space="preserve">  ปี</t>
  </si>
  <si>
    <r>
      <rPr>
        <b/>
        <sz val="22"/>
        <color rgb="FFFF0000"/>
        <rFont val="Angsana New"/>
        <family val="1"/>
      </rPr>
      <t xml:space="preserve">   </t>
    </r>
    <r>
      <rPr>
        <b/>
        <u/>
        <sz val="22"/>
        <color rgb="FFFF0000"/>
        <rFont val="Angsana New"/>
        <family val="1"/>
      </rPr>
      <t>วิธีการกรอกข้อมูล</t>
    </r>
  </si>
  <si>
    <t xml:space="preserve">  1.  กรอกข้อมูลเฉพาะช่องที่ระบายสีไว้เท่านั้น</t>
  </si>
  <si>
    <t xml:space="preserve">  2.  วันที่   ให้ใช้รูปแบบ    วว/ดด/ปปปป     เท่านั้น จึงจะคำนวณได้   เช่น  01/10/2555 </t>
  </si>
  <si>
    <t xml:space="preserve">  3.  จำนวนเงิน ให้ใช้รูปแบบ   00000  โดยไม่ต้องใส่เครื่องหมาย   ,  คั่นระหว่างตัวเลข</t>
  </si>
  <si>
    <t xml:space="preserve">  4.  ตารางเงินเดือนเฉลี่ย 60 เดือนสุดท้าย </t>
  </si>
  <si>
    <t xml:space="preserve">        4.1  ช่อง  เงินเดือน/เดือน    เงินลด(ถ้ามี)   เงินเพิ่ม(ถ้ามี)  </t>
  </si>
  <si>
    <r>
      <t xml:space="preserve">        4.2  ช่วงวันที่  ตั้งแต่  - ถึง    </t>
    </r>
    <r>
      <rPr>
        <b/>
        <i/>
        <u/>
        <sz val="18"/>
        <color rgb="FFFF0000"/>
        <rFont val="Angsana New"/>
        <family val="1"/>
      </rPr>
      <t>โปรแกรมนี้มีข้อจำกัด</t>
    </r>
    <r>
      <rPr>
        <sz val="18"/>
        <color rgb="FFFF0000"/>
        <rFont val="Angsana New"/>
        <family val="1"/>
      </rPr>
      <t xml:space="preserve"> </t>
    </r>
    <r>
      <rPr>
        <b/>
        <sz val="18"/>
        <color rgb="FFFF0000"/>
        <rFont val="Angsana New"/>
        <family val="1"/>
      </rPr>
      <t xml:space="preserve"> กรณี ข้ามปี แล้วช่อง  </t>
    </r>
    <r>
      <rPr>
        <b/>
        <i/>
        <u/>
        <sz val="18"/>
        <color rgb="FFFF0000"/>
        <rFont val="Angsana New"/>
        <family val="1"/>
      </rPr>
      <t>ถึง</t>
    </r>
    <r>
      <rPr>
        <b/>
        <sz val="18"/>
        <color rgb="FFFF0000"/>
        <rFont val="Angsana New"/>
        <family val="1"/>
      </rPr>
      <t xml:space="preserve"> เป็นเดือน มกราคม </t>
    </r>
  </si>
  <si>
    <r>
      <t xml:space="preserve">               จะต้องกรอกเป็น   </t>
    </r>
    <r>
      <rPr>
        <b/>
        <i/>
        <u/>
        <sz val="18"/>
        <color rgb="FFFF0000"/>
        <rFont val="Angsana New"/>
        <family val="1"/>
      </rPr>
      <t>30/01/ปปปป</t>
    </r>
    <r>
      <rPr>
        <b/>
        <sz val="18"/>
        <color rgb="FFFF0000"/>
        <rFont val="Angsana New"/>
        <family val="1"/>
      </rPr>
      <t xml:space="preserve">   </t>
    </r>
    <r>
      <rPr>
        <b/>
        <i/>
        <u/>
        <sz val="18"/>
        <color rgb="FFFF0000"/>
        <rFont val="Angsana New"/>
        <family val="1"/>
      </rPr>
      <t>เท่านั้น</t>
    </r>
    <r>
      <rPr>
        <b/>
        <sz val="18"/>
        <color rgb="FFFF0000"/>
        <rFont val="Angsana New"/>
        <family val="1"/>
      </rPr>
      <t xml:space="preserve"> โปรแกรมจึงจะคำนวณจำนวนเดือนได้ถูกต้อง ตามตัวอย่างด้านล่าง</t>
    </r>
  </si>
  <si>
    <t>จำนวนเดือน  ไม่ถูกต้อง</t>
  </si>
  <si>
    <t>จำนวนเดือน   ถูกต้อง</t>
  </si>
  <si>
    <r>
      <t xml:space="preserve">         4.3   กรณี </t>
    </r>
    <r>
      <rPr>
        <b/>
        <i/>
        <u/>
        <sz val="18"/>
        <color rgb="FFFF0000"/>
        <rFont val="Angsana New"/>
        <family val="1"/>
      </rPr>
      <t>พ้นจากราชการ ระหว่างเดือน</t>
    </r>
    <r>
      <rPr>
        <b/>
        <sz val="18"/>
        <color rgb="FFFF0000"/>
        <rFont val="Angsana New"/>
        <family val="1"/>
      </rPr>
      <t xml:space="preserve">  ให้คำนวณเงินเดือนเฉลี่ยจนถึงสิ้นเดือน </t>
    </r>
    <r>
      <rPr>
        <b/>
        <i/>
        <u/>
        <sz val="18"/>
        <color rgb="FFFF0000"/>
        <rFont val="Angsana New"/>
        <family val="1"/>
      </rPr>
      <t xml:space="preserve">ที่พ้นจากราชการ </t>
    </r>
  </si>
  <si>
    <t xml:space="preserve">                เช่น  ลาออก วันที่  2 พฤษภาคม  2556  เงินเดือน 32,570 บาท  ให้เริ่มกรอกระยะเวลาตั้งแต่ วันที่ 1 ของเดือนถัดจาก</t>
  </si>
  <si>
    <t xml:space="preserve">                เดือนที่ลาออกระหว่างเดือน    แล้วนำ  5 ไปลบออกจาก ปีที่ลาออก  จะได้ วัน เดือน ปี เริ่มต้นคำนวณเงินเดือนเฉลี่ย  ดังนี้</t>
  </si>
  <si>
    <t>รวมจำนวนเดือน</t>
  </si>
  <si>
    <r>
      <t xml:space="preserve">         4.4   กรณี </t>
    </r>
    <r>
      <rPr>
        <b/>
        <i/>
        <u/>
        <sz val="18"/>
        <color rgb="FFFF0000"/>
        <rFont val="Angsana New"/>
        <family val="1"/>
      </rPr>
      <t>พ้นจากราชการวันที่ 1</t>
    </r>
    <r>
      <rPr>
        <b/>
        <sz val="18"/>
        <color rgb="FFFF0000"/>
        <rFont val="Angsana New"/>
        <family val="1"/>
      </rPr>
      <t xml:space="preserve">  ให้คำนวณเงินเดือนเฉลี่ยจนถึงสิ้นเดือน </t>
    </r>
    <r>
      <rPr>
        <b/>
        <i/>
        <u/>
        <sz val="18"/>
        <color rgb="FFFF0000"/>
        <rFont val="Angsana New"/>
        <family val="1"/>
      </rPr>
      <t>ก่อนเดือนที่พ้นจากราชการ</t>
    </r>
    <r>
      <rPr>
        <b/>
        <sz val="18"/>
        <color rgb="FFFF0000"/>
        <rFont val="Angsana New"/>
        <family val="1"/>
      </rPr>
      <t xml:space="preserve"> </t>
    </r>
  </si>
  <si>
    <t xml:space="preserve">                 เช่น  ลาออก วันที่ 1 พฤษภาคม 2556  ให้เริ่มกรอกตั้งแต่วันที่ 1 ของเดือนที่ลาออก </t>
  </si>
  <si>
    <t xml:space="preserve">                 แล้วนำ  5 ไปลบออกจาก ปีที่ลาออก จะได้ วัน เดือน ปี เริ่มต้นคำนวณเงินเดือนเฉลี่ย   ดังนี้</t>
  </si>
  <si>
    <r>
      <t xml:space="preserve">         4.5   กรณี เลื่อนระดับและได้เลื่อนเงินเดือนเพิ่มขึ้นระหว่างเดือน   ให้คำนวณเงินเดือนเฉลี่ยในเดือนนั้นตามอัตราใหม่เต็มเดือน</t>
    </r>
    <r>
      <rPr>
        <b/>
        <sz val="18"/>
        <color rgb="FFFF0000"/>
        <rFont val="Angsana New"/>
        <family val="1"/>
      </rPr>
      <t xml:space="preserve"> </t>
    </r>
  </si>
  <si>
    <t xml:space="preserve">                 เช่น  เงินเดือน ณ วันที่ 1 ต.ค.2552 อัตรา  22,420 บาท  เลื่อนระดับและได้ปรับเงินเดือนสูงขึ้น วันที่ 10 ม.ค.2553  อัตรา 22,840 บาท </t>
  </si>
  <si>
    <t xml:space="preserve">                 ให้กรอก อัตราเงินเดือน 22,420 บาท ตั้งแต่  01/10/2552  ถึง  31 ธ.ค. 2552  และ</t>
  </si>
  <si>
    <t xml:space="preserve">                 ให้กรอก อัตราเงินเดือน 22,840 บาท ตั้งแต่  01/01/2553  ถึง  31 มี.ค. 2553     ตามตัวอย่าง ดังนี้</t>
  </si>
  <si>
    <t xml:space="preserve">               กรณี  เป็นสมาชิกกบข.จนกระทั่งพ้นจากราชการ และขอรับบำนาญ กบข.  ท่านจะได้รับเงินจาก กบข. ตาม 5. </t>
  </si>
  <si>
    <t xml:space="preserve">               กรณี  ยื่นแสดงประสงค์กลับไปใช้สิทธิในบำเหน็จบำนาญตาม พรบ. 2494 (รับบำนาญตาม พรบ.2494) ท่านจะไม่ได้รับเงินตาม 5. ดังกล่าว </t>
  </si>
  <si>
    <t xml:space="preserve">   6. การประเมินเงินเดือนล่วงหน้า อยู่ในแผ่นงาน (sheet) ถัดไป</t>
  </si>
  <si>
    <t xml:space="preserve">       7. 1  คลิกปุ่ม Start  มุมซ้ายล่างของหน้าจอ  </t>
  </si>
  <si>
    <t xml:space="preserve">        7.2  คลิกเลือก Control Panel</t>
  </si>
  <si>
    <t xml:space="preserve">        7.3  คลิกเลือก  Regional  and Languauge Options  และเลือกตามรูปด้านล่าง</t>
  </si>
  <si>
    <t>สำหรับข้าราชการสมาชิก กบข.</t>
  </si>
  <si>
    <r>
      <t xml:space="preserve">วิธีคำนวณเปรียบเทียบบำนาญกบข. กับ บำนาญตาม พรบ. 2494)  </t>
    </r>
    <r>
      <rPr>
        <b/>
        <sz val="14"/>
        <color rgb="FFFF0000"/>
        <rFont val="Tahoma"/>
        <family val="2"/>
      </rPr>
      <t>"โดยประมาณ"</t>
    </r>
  </si>
  <si>
    <t xml:space="preserve">  ***ตารางนี้เป็นเพียงข้อมูลประมาณการประกอบการตัดสินใจเท่านั้น ไม่ถือเป็นข้อผูกพันต่อการได้รับบำนาญจากกรมบัญชีกลาง***</t>
  </si>
  <si>
    <t>เวลาราชการหรือทวีคูณอื่น ระบุช่วงเวลา(ถ้ามี)</t>
  </si>
  <si>
    <t>* การคำนวณเวลาราชการเพื่อคำนวณบำนาญ กบข.  =  ปี + (เดือน/12 ) + (วัน/360)                                            =</t>
  </si>
  <si>
    <t>* การคำนวณเวลาราชการเพื่อคำนวณบำนาญตาม พรบ.2494 เศษของปี ถ้าถึง 6 เดือน ให้ปัดเป็น 1 ปี  ถ้าไม่ถึงให้ปัดทิ้ง  =</t>
  </si>
  <si>
    <t>เงินเดือนเฉลี่ย 60 เดือน                (</t>
  </si>
  <si>
    <t>70% ของเงินเดือนเฉลี่ย               (</t>
  </si>
  <si>
    <t xml:space="preserve">(เงินเดือนเฉลี่ย 60 เดือน  X  เวลาราชการแบบบำนาญ กบข. )   /   50  </t>
  </si>
  <si>
    <r>
      <t>สูตรการคำนวณบำนาญตาม พรบ.2494</t>
    </r>
    <r>
      <rPr>
        <b/>
        <sz val="12"/>
        <color theme="1"/>
        <rFont val="Tahoma"/>
        <family val="2"/>
        <scheme val="minor"/>
      </rPr>
      <t xml:space="preserve"> </t>
    </r>
    <r>
      <rPr>
        <sz val="12"/>
        <color theme="1"/>
        <rFont val="Tahoma"/>
        <family val="2"/>
        <scheme val="minor"/>
      </rPr>
      <t xml:space="preserve">               =</t>
    </r>
  </si>
  <si>
    <r>
      <t xml:space="preserve">        4.2  ช่วงวันที่  ตั้งแต่  - ถึง    </t>
    </r>
    <r>
      <rPr>
        <b/>
        <i/>
        <u/>
        <sz val="22"/>
        <color rgb="FFFF0000"/>
        <rFont val="Angsana New"/>
        <family val="1"/>
      </rPr>
      <t>โปรแกรมนี้มีข้อจำกัด</t>
    </r>
    <r>
      <rPr>
        <sz val="22"/>
        <color rgb="FFFF0000"/>
        <rFont val="Angsana New"/>
        <family val="1"/>
      </rPr>
      <t xml:space="preserve"> </t>
    </r>
    <r>
      <rPr>
        <b/>
        <sz val="22"/>
        <color rgb="FFFF0000"/>
        <rFont val="Angsana New"/>
        <family val="1"/>
      </rPr>
      <t xml:space="preserve"> กรณี ข้ามปี แล้วช่อง  </t>
    </r>
    <r>
      <rPr>
        <b/>
        <i/>
        <u/>
        <sz val="22"/>
        <color rgb="FFFF0000"/>
        <rFont val="Angsana New"/>
        <family val="1"/>
      </rPr>
      <t>ถึง</t>
    </r>
    <r>
      <rPr>
        <b/>
        <sz val="22"/>
        <color rgb="FFFF0000"/>
        <rFont val="Angsana New"/>
        <family val="1"/>
      </rPr>
      <t xml:space="preserve">   เป็นเดือน มกราคม </t>
    </r>
  </si>
  <si>
    <r>
      <t xml:space="preserve">               จะต้องกรอกเป็น   </t>
    </r>
    <r>
      <rPr>
        <b/>
        <i/>
        <u/>
        <sz val="22"/>
        <color rgb="FFFF0000"/>
        <rFont val="Angsana New"/>
        <family val="1"/>
      </rPr>
      <t>30/01/ปปปป</t>
    </r>
    <r>
      <rPr>
        <b/>
        <sz val="22"/>
        <color rgb="FFFF0000"/>
        <rFont val="Angsana New"/>
        <family val="1"/>
      </rPr>
      <t xml:space="preserve">   </t>
    </r>
    <r>
      <rPr>
        <b/>
        <i/>
        <u/>
        <sz val="22"/>
        <color rgb="FFFF0000"/>
        <rFont val="Angsana New"/>
        <family val="1"/>
      </rPr>
      <t>เท่านั้น</t>
    </r>
    <r>
      <rPr>
        <b/>
        <sz val="22"/>
        <color rgb="FFFF0000"/>
        <rFont val="Angsana New"/>
        <family val="1"/>
      </rPr>
      <t xml:space="preserve">  โปรแกรมจึงจะคำนวณจำนวนเดือนได้ถูกต้อง ตามตัวอย่าง ดังนี้</t>
    </r>
  </si>
  <si>
    <r>
      <t xml:space="preserve">         4.3   กรณี </t>
    </r>
    <r>
      <rPr>
        <b/>
        <i/>
        <u/>
        <sz val="22"/>
        <color rgb="FFFF0000"/>
        <rFont val="Angsana New"/>
        <family val="1"/>
      </rPr>
      <t>พ้นจากราชการ ระหว่างเดือน</t>
    </r>
    <r>
      <rPr>
        <b/>
        <sz val="22"/>
        <color rgb="FFFF0000"/>
        <rFont val="Angsana New"/>
        <family val="1"/>
      </rPr>
      <t xml:space="preserve">  ให้คำนวณเงินเดือนเฉลี่ยจนถึงสิ้นเดือน </t>
    </r>
    <r>
      <rPr>
        <b/>
        <i/>
        <u/>
        <sz val="22"/>
        <color rgb="FFFF0000"/>
        <rFont val="Angsana New"/>
        <family val="1"/>
      </rPr>
      <t xml:space="preserve">ที่พ้นจากราชการ </t>
    </r>
  </si>
  <si>
    <t xml:space="preserve">                เช่น  ลาออก วันที่  2 พฤษภาคม  2556  ให้เริ่มกรอกตั้งแต่ วันที่ 1 ของเดือนถัดจาก เดือนที่ลาออกระหว่างเดือน</t>
  </si>
  <si>
    <t xml:space="preserve">                แล้วนำ  5 ไปลบออกจาก ปีที่ลาออก  จะได้ วัน เดือน ปี เริ่มต้นคำนวณเงินเดือนเฉลี่ย  ดังนี้</t>
  </si>
  <si>
    <r>
      <t xml:space="preserve">         4.4   กรณี </t>
    </r>
    <r>
      <rPr>
        <b/>
        <i/>
        <u/>
        <sz val="22"/>
        <color rgb="FFFF0000"/>
        <rFont val="Angsana New"/>
        <family val="1"/>
      </rPr>
      <t>พ้นจากราชการวันที่ 1</t>
    </r>
    <r>
      <rPr>
        <b/>
        <sz val="22"/>
        <color rgb="FFFF0000"/>
        <rFont val="Angsana New"/>
        <family val="1"/>
      </rPr>
      <t xml:space="preserve">  ให้คำนวณเงินเดือนเฉลี่ยจนถึงสิ้นเดือน </t>
    </r>
    <r>
      <rPr>
        <b/>
        <i/>
        <u/>
        <sz val="22"/>
        <color rgb="FFFF0000"/>
        <rFont val="Angsana New"/>
        <family val="1"/>
      </rPr>
      <t>ก่อนเดือนที่พ้นจากราชการ</t>
    </r>
    <r>
      <rPr>
        <b/>
        <sz val="22"/>
        <color rgb="FFFF0000"/>
        <rFont val="Angsana New"/>
        <family val="1"/>
      </rPr>
      <t xml:space="preserve"> </t>
    </r>
  </si>
  <si>
    <t xml:space="preserve">         4.5   กรณี เลื่อนระดับและได้เลื่อนเงินเดือนเพิ่มขึ้นระหว่างเดือน   ให้คำนวณเงินเดือนเฉลี่ยในเดือนนั้นตามอัตราใหม่เต็มเดือน </t>
  </si>
  <si>
    <t xml:space="preserve">   7.  กรณี กรอกวัน เดือน ปี ที่ถูกต้องแล้ว แต่อ่านค่าไม่ได้ ต้องตั้งค่า Regional Options ใหม่โดย</t>
  </si>
  <si>
    <t>ประมาณการเงินเดือนล่วงหน้า สำหรับข้าราชการ</t>
  </si>
  <si>
    <t>ฐานในการคำนวณและช่วงเงินเดือนสำหรับการเลื่อนเงินเดือนในแต่ละประเภทและระดับตำแหน่ง</t>
  </si>
  <si>
    <t>รายการ</t>
  </si>
  <si>
    <t>อัตราเงินเดือน</t>
  </si>
  <si>
    <t>อัตราขั้นสูงของช่วงเงินเดือนตามระดับ</t>
  </si>
  <si>
    <t>ฐานในการคำนวณ</t>
  </si>
  <si>
    <t>ประมาณการเลื่อนเงินเดือน ร้อยละ</t>
  </si>
  <si>
    <t xml:space="preserve">  จำนวนเงิน  ทึ่เลื่อน</t>
  </si>
  <si>
    <t>เริ่มใช้ตั้งแต่วันที่ 1 เมษายน 2554 เป็นด้นไป</t>
  </si>
  <si>
    <t>(1)</t>
  </si>
  <si>
    <t>(2)</t>
  </si>
  <si>
    <t>(3)</t>
  </si>
  <si>
    <t>(4)</t>
  </si>
  <si>
    <t>(5)</t>
  </si>
  <si>
    <t>ประเภทตำแหน่ง</t>
  </si>
  <si>
    <t>ระดับ</t>
  </si>
  <si>
    <t>ช่วงเงินเดือน</t>
  </si>
  <si>
    <t xml:space="preserve">   วัน เดือน ปี</t>
  </si>
  <si>
    <t>บาท</t>
  </si>
  <si>
    <t>อัตรา</t>
  </si>
  <si>
    <t>บริหาร</t>
  </si>
  <si>
    <t>สูง</t>
  </si>
  <si>
    <t>-</t>
  </si>
  <si>
    <t>บน</t>
  </si>
  <si>
    <t>ล่าง</t>
  </si>
  <si>
    <t>ต้น</t>
  </si>
  <si>
    <t>อำนวยการ</t>
  </si>
  <si>
    <t>วิชาการ</t>
  </si>
  <si>
    <t>ทรงคุณวุฒิ</t>
  </si>
  <si>
    <t>บน 2</t>
  </si>
  <si>
    <t>ล่าง 2</t>
  </si>
  <si>
    <t>บน 1</t>
  </si>
  <si>
    <t>ล่าง 1</t>
  </si>
  <si>
    <t>เชี่ยวชาญ</t>
  </si>
  <si>
    <t>ชำนาญการพิเศษ</t>
  </si>
  <si>
    <t>ชำนาญการ</t>
  </si>
  <si>
    <t>ปฏิบัติการ</t>
  </si>
  <si>
    <r>
      <rPr>
        <u/>
        <sz val="12"/>
        <color theme="1"/>
        <rFont val="Tahoma"/>
        <family val="2"/>
        <scheme val="minor"/>
      </rPr>
      <t xml:space="preserve">หมายเหตุ </t>
    </r>
    <r>
      <rPr>
        <sz val="12"/>
        <color theme="1"/>
        <rFont val="Tahoma"/>
        <family val="2"/>
        <scheme val="minor"/>
      </rPr>
      <t>:</t>
    </r>
  </si>
  <si>
    <t>ทั่วไป</t>
  </si>
  <si>
    <t>ทักษะพิเศษ</t>
  </si>
  <si>
    <t xml:space="preserve">        ตารางนี้เป็นเพียง ประมาณการล่วงหน้าเท่านั้น ซึ่งท่านสามารถทดสอบกรอกข้อมูลตามช่องที่ระบายสีไว้ </t>
  </si>
  <si>
    <t xml:space="preserve">โปรแกรมจะคำนวณเงินเดือนใหม่ให้อัตโนมัติ เพื่อนำไปใช้ในการคำนวณบำนาญสมาชิก กบข. โดยประมาณได้ </t>
  </si>
  <si>
    <t>อาวุโส</t>
  </si>
  <si>
    <t xml:space="preserve">โดยท่านเป็นผู้รับผิดชอบข้อมูลของท่านเอง </t>
  </si>
  <si>
    <r>
      <rPr>
        <sz val="12"/>
        <color theme="1"/>
        <rFont val="Tahoma"/>
        <family val="2"/>
        <scheme val="minor"/>
      </rPr>
      <t xml:space="preserve"> </t>
    </r>
    <r>
      <rPr>
        <u/>
        <sz val="12"/>
        <color theme="1"/>
        <rFont val="Tahoma"/>
        <family val="2"/>
        <scheme val="minor"/>
      </rPr>
      <t>วิธีกรอกข้อมูล</t>
    </r>
    <r>
      <rPr>
        <sz val="12"/>
        <color theme="1"/>
        <rFont val="Tahoma"/>
        <family val="2"/>
        <scheme val="minor"/>
      </rPr>
      <t xml:space="preserve">   เฉพาะช่องที่ระบายสีไว้เท่านั้น  (กรณีใช้โปรแกรมนี้)</t>
    </r>
  </si>
  <si>
    <t xml:space="preserve">   ช่อง วัน เดือน ปี  ให้ใช้รูปแบบ วว/ดด/ปปปป เช่น  01/04/2556</t>
  </si>
  <si>
    <t>ชำนาญงาน</t>
  </si>
  <si>
    <t xml:space="preserve">   ช่อง (1)  กรอกอัตราเงินเดือน ณ ปัจจุบัน เฉพาะช่องแรกที่ระบายสีไว้</t>
  </si>
  <si>
    <t xml:space="preserve">   ช่อง (2)  กรอกอัตราขั้นสูงตามช่วงของเงินเดือน ตามตำแหน่งและระดับ</t>
  </si>
  <si>
    <t>ปฏิบัติงาน</t>
  </si>
  <si>
    <t xml:space="preserve">   ช่อง (3)  กรอกฐานในการคำนวณ ต้องกรอกให้ถูกต้องว่าใช้ฐานล่าง หรือ ฐานบน  ซึ่งจะสัมพันธ์กับช่อง (1)</t>
  </si>
  <si>
    <t xml:space="preserve">                เมื่อเลื่อนเงินเดือนแล้ว อัตราเงินเดือนใหม่ขยับไปอยู่ในช่วงของเงินเดือนฐานบน</t>
  </si>
  <si>
    <t xml:space="preserve">                ต้องกรอกกรอกขั้นสูงของช่วงเงินเดือนใหม่ และฐานในการคำนวณใหม่ ด้วย</t>
  </si>
  <si>
    <t xml:space="preserve">   ช่อง (4)  ประมาณการด้วยตัวเอง เป็นร้อยละที่คาดว่าจะได้รับ</t>
  </si>
  <si>
    <t xml:space="preserve">   ชอง (5)  คำนวณเงินที่เลื่อน โดย (3) คูณ (4) เศษหลักหน่วยให้ปัดขึ้นเป็นหลักสิบ</t>
  </si>
  <si>
    <t xml:space="preserve">    *** กรณีคาดว่าจะได้เลื่อนตำแหน่งเป็นประเภทที่สูงขึ้น ให้เริ่มทำใหม่โดยกรอกช่อง (1) - (4) ใหม่ </t>
  </si>
  <si>
    <t>ทำไปจนถึงวันพ้นจากราชการ แล้วนำอัตราเงินเดือน 60 เดือนสุดท้ายไปกรอกเพื่อการคำนวณบำนาญ กบข.</t>
  </si>
  <si>
    <t>จำนวนเงินที่เลื่อน</t>
  </si>
  <si>
    <t>……………...</t>
  </si>
  <si>
    <t>………………</t>
  </si>
  <si>
    <t>…………………….</t>
  </si>
  <si>
    <t>……………………..</t>
  </si>
  <si>
    <t>………………..</t>
  </si>
  <si>
    <t>…………………....</t>
  </si>
  <si>
    <t>……………………</t>
  </si>
  <si>
    <t>…………………</t>
  </si>
  <si>
    <t>………..………….</t>
  </si>
  <si>
    <t>………….……..</t>
  </si>
  <si>
    <t>…………………..</t>
  </si>
  <si>
    <r>
      <t xml:space="preserve">        4.2  ช่วงวันที่  ตั้งแต่  - ถึง    </t>
    </r>
    <r>
      <rPr>
        <b/>
        <i/>
        <u/>
        <sz val="22"/>
        <color rgb="FFFF0000"/>
        <rFont val="Angsana New"/>
        <family val="1"/>
      </rPr>
      <t>โปรแกรมนี้มีข้อจำกัด</t>
    </r>
    <r>
      <rPr>
        <sz val="22"/>
        <color rgb="FFFF0000"/>
        <rFont val="Angsana New"/>
        <family val="1"/>
      </rPr>
      <t xml:space="preserve"> </t>
    </r>
    <r>
      <rPr>
        <b/>
        <sz val="22"/>
        <color rgb="FFFF0000"/>
        <rFont val="Angsana New"/>
        <family val="1"/>
      </rPr>
      <t xml:space="preserve"> กรณี ข้ามปี แล้วช่อง  </t>
    </r>
    <r>
      <rPr>
        <b/>
        <i/>
        <u/>
        <sz val="22"/>
        <color rgb="FFFF0000"/>
        <rFont val="Angsana New"/>
        <family val="1"/>
      </rPr>
      <t>ถึง</t>
    </r>
    <r>
      <rPr>
        <b/>
        <sz val="22"/>
        <color rgb="FFFF0000"/>
        <rFont val="Angsana New"/>
        <family val="1"/>
      </rPr>
      <t xml:space="preserve"> เป็นเดือน มกราคม </t>
    </r>
  </si>
  <si>
    <r>
      <t xml:space="preserve">               จะต้องกรอกเป็น   </t>
    </r>
    <r>
      <rPr>
        <b/>
        <i/>
        <u/>
        <sz val="22"/>
        <color rgb="FFFF0000"/>
        <rFont val="Angsana New"/>
        <family val="1"/>
      </rPr>
      <t xml:space="preserve">30/01/ปปปป </t>
    </r>
    <r>
      <rPr>
        <b/>
        <sz val="22"/>
        <color rgb="FFFF0000"/>
        <rFont val="Angsana New"/>
        <family val="1"/>
      </rPr>
      <t xml:space="preserve">  เท่านั้น  โปรแกรมจึงจะคำนวณจำนวนเดือนได้ถูกต้อง ตามตัวอย่าง ดังนี้</t>
    </r>
  </si>
  <si>
    <r>
      <t xml:space="preserve">   5.  กรอกจำนวน (เงินประเดิม +เงินชดเชย + เงินสมทบ) +ผลประโยชน์ (</t>
    </r>
    <r>
      <rPr>
        <b/>
        <i/>
        <sz val="22"/>
        <color rgb="FFFF0000"/>
        <rFont val="Angsana New"/>
        <family val="1"/>
      </rPr>
      <t>ไม่รวมเงินสะสมและผลประโยชน์</t>
    </r>
    <r>
      <rPr>
        <b/>
        <sz val="22"/>
        <color rgb="FFFF0000"/>
        <rFont val="Angsana New"/>
        <family val="1"/>
      </rPr>
      <t xml:space="preserve"> ) </t>
    </r>
  </si>
  <si>
    <t xml:space="preserve">        ที่จะได้รับจากกองทุน กบข. ประมาณ เมื่อพ้นจากราชการ </t>
  </si>
  <si>
    <t xml:space="preserve">*** บำนาญตาม พรบ.2494 จะต้องไม่เกินเงินเดือนเดือนสุดท้าย </t>
  </si>
  <si>
    <r>
      <t xml:space="preserve">เงินประเดิม+เงินชดเชย+เงินสมทบ+ผลประโยชน์(ไม่รวมเงินสะสม+ผลประโยชน์) </t>
    </r>
    <r>
      <rPr>
        <sz val="11"/>
        <color theme="1"/>
        <rFont val="Tahoma"/>
        <family val="2"/>
        <scheme val="minor"/>
      </rPr>
      <t>ประมาณเมื่อพ้นจากราชการ</t>
    </r>
  </si>
  <si>
    <t xml:space="preserve">   5.  กรอกจำนวน (เงินประเดิม +เงินชดเชย + เงินสมทบ) +ผลประโยชน์ (ไม่รวมเงินสะสม และผลประโยชน์) ที่จะได้รับจากกองทุน กบข. โดยประมาณ</t>
  </si>
  <si>
    <t>l</t>
  </si>
  <si>
    <t xml:space="preserve">      เมื่อพ้นจากราชการ </t>
  </si>
  <si>
    <t xml:space="preserve">      โดยดูจากเอกสารที่กบข.ส่งให้ตอนสิ้นปี ล่าสุด (ไม่รวมเงินสะสมและผลประโยชน์ของเงินสะสม)   แล้วบวกเพิ่ม  ดังนี้</t>
  </si>
  <si>
    <t>ผลประโยชน์ของเงินดังกล่าว  ต้องประมาณการเพิ่มเอง</t>
  </si>
  <si>
    <t xml:space="preserve">               กรณี  เป็นสมาชิก กบข.จนกระทั่งพ้นจากราชการ และขอรับบำนาญ กบข.  ท่านจะได้รับเงินจาก กบข. ตาม 5. </t>
  </si>
  <si>
    <r>
      <t xml:space="preserve">      หากเป็นสมาชิก กบข.ต่อไปจนกระทั่งพ้นจากราชการและขอรับบำนาญ จะได้รับ</t>
    </r>
    <r>
      <rPr>
        <b/>
        <i/>
        <sz val="22"/>
        <color rgb="FFFF0000"/>
        <rFont val="Angsana New"/>
        <family val="1"/>
      </rPr>
      <t xml:space="preserve">เงินประเดิม </t>
    </r>
    <r>
      <rPr>
        <b/>
        <i/>
        <u/>
        <sz val="22"/>
        <color rgb="FFFF0000"/>
        <rFont val="Angsana New"/>
        <family val="1"/>
      </rPr>
      <t>เงินชดเชย เงินสมทบ และผลประโยชน์</t>
    </r>
    <r>
      <rPr>
        <b/>
        <u/>
        <sz val="22"/>
        <color rgb="FFFF0000"/>
        <rFont val="Angsana New"/>
        <family val="1"/>
      </rPr>
      <t>ของเงินดังกล่าว</t>
    </r>
    <r>
      <rPr>
        <b/>
        <sz val="22"/>
        <color rgb="FFFF0000"/>
        <rFont val="Angsana New"/>
        <family val="1"/>
      </rPr>
      <t xml:space="preserve"> </t>
    </r>
  </si>
  <si>
    <t xml:space="preserve">   6.  การประเมินเงินเดือนล่วงหน้า อยู่ในแผ่นงาน (sheet) ถัดไป</t>
  </si>
  <si>
    <r>
      <t>สูตรการคำนวณบำนาญตาม พรบ.2494</t>
    </r>
    <r>
      <rPr>
        <b/>
        <sz val="12"/>
        <color theme="1"/>
        <rFont val="Tahoma"/>
        <family val="2"/>
        <scheme val="minor"/>
      </rPr>
      <t xml:space="preserve"> </t>
    </r>
  </si>
  <si>
    <t>=</t>
  </si>
  <si>
    <t>บำนาญตาม พรบ.2494 มากกว่า  บำนาญกบข.          =         (</t>
  </si>
  <si>
    <r>
      <t>สูตรการคำนวณบำนาญตาม พรบ.2494</t>
    </r>
    <r>
      <rPr>
        <b/>
        <sz val="12"/>
        <color theme="1"/>
        <rFont val="Tahoma"/>
        <family val="2"/>
        <scheme val="minor"/>
      </rPr>
      <t xml:space="preserve"> </t>
    </r>
    <r>
      <rPr>
        <sz val="12"/>
        <color theme="1"/>
        <rFont val="Tahoma"/>
        <family val="2"/>
        <scheme val="minor"/>
      </rPr>
      <t xml:space="preserve">             =</t>
    </r>
  </si>
  <si>
    <t>บำนาญตาม พรบ.2494  มากกว่า  บำนาญกบข.         =        (</t>
  </si>
  <si>
    <r>
      <t xml:space="preserve">เงินประเดิม+เงินชดเชย+เงินสมทบ+ผลประโยชน์(ไม่รวมเงินสะสม+ผลประโยชน์) </t>
    </r>
    <r>
      <rPr>
        <sz val="11"/>
        <color theme="1"/>
        <rFont val="Tahoma"/>
        <family val="2"/>
        <scheme val="minor"/>
      </rPr>
      <t>ประมาณ เมื่อพ้นจากราชกา</t>
    </r>
    <r>
      <rPr>
        <sz val="12"/>
        <color theme="1"/>
        <rFont val="Tahoma"/>
        <family val="2"/>
        <charset val="222"/>
        <scheme val="minor"/>
      </rPr>
      <t>ร</t>
    </r>
  </si>
  <si>
    <t>เงินชดเชย    บวกเพิ่ม   เดือนละ 2%   ของเงินเดือน จนถึงวันที่ก่อนพ้นจากราชการ</t>
  </si>
  <si>
    <t>เงินสมทบ    บวกเพิ่ม   เดือนละ 3%   ของเงินเดือน จนถึงวันที่ก่อนพ้นจากราชการ</t>
  </si>
  <si>
    <t xml:space="preserve">      โดยดูจากเอกสารที่กบข.ส่งให้ ณ สิ้นปี ล่าสุด (ไม่รวมเงินสะสมและผลประโยชน์ของเงินสะสม)   แล้วบวกเพิ่ม  ดังนี้</t>
  </si>
  <si>
    <t xml:space="preserve">   6. การประมาณเงินเดือนล่วงหน้า อยู่ในแผ่นงาน (sheet) ถัดไป</t>
  </si>
  <si>
    <t>บำนาญตาม พรบ.2494  มากกว่า  บำนาญกบข.          =        (</t>
  </si>
  <si>
    <t>เงินเดือนเฉลี่ย 60 เดือน                      (</t>
  </si>
  <si>
    <t>70% ของเงินเดือนเฉลี่ย                     (</t>
  </si>
  <si>
    <r>
      <t xml:space="preserve">   ดังนั้น บำนาญตาม พรบ.2494 ที่จะได้รับ       ประมาณ</t>
    </r>
    <r>
      <rPr>
        <sz val="12"/>
        <color theme="1"/>
        <rFont val="Tahoma"/>
        <family val="2"/>
        <scheme val="minor"/>
      </rPr>
      <t xml:space="preserve">   </t>
    </r>
  </si>
  <si>
    <t xml:space="preserve">   ดังนั้น บำนาญ กบข. ที่จะได้รับ                 ประมาณ</t>
  </si>
  <si>
    <r>
      <t xml:space="preserve">    ดังนั้น บำนาญตาม พรบ.2494 ที่จะได้รับ     ประมาณ</t>
    </r>
    <r>
      <rPr>
        <sz val="12"/>
        <color theme="1"/>
        <rFont val="Tahoma"/>
        <family val="2"/>
        <scheme val="minor"/>
      </rPr>
      <t xml:space="preserve">   </t>
    </r>
  </si>
  <si>
    <t xml:space="preserve">     ดังนั้น บำนาญ กบข. ที่จะได้รับ                  ประมาณ</t>
  </si>
  <si>
    <r>
      <t xml:space="preserve">    ดังนั้น บำนาญตาม พรบ.2494 ที่จะได้รับ    ประมาณ</t>
    </r>
    <r>
      <rPr>
        <sz val="12"/>
        <color theme="1"/>
        <rFont val="Tahoma"/>
        <family val="2"/>
        <scheme val="minor"/>
      </rPr>
      <t xml:space="preserve">   </t>
    </r>
  </si>
  <si>
    <t xml:space="preserve">     ดังนั้น บำนาญ กบข. ที่จะได้รับ                 ประมาณ</t>
  </si>
  <si>
    <r>
      <t xml:space="preserve">การคำนวณเงินที่จะได้รับจาก กบข. เมื่อพ้นจากราชการ </t>
    </r>
    <r>
      <rPr>
        <sz val="20"/>
        <color rgb="FFFF0000"/>
        <rFont val="Tahoma"/>
        <family val="2"/>
        <scheme val="minor"/>
      </rPr>
      <t>"</t>
    </r>
    <r>
      <rPr>
        <b/>
        <i/>
        <u/>
        <sz val="20"/>
        <color rgb="FFFF0000"/>
        <rFont val="Tahoma"/>
        <family val="2"/>
        <scheme val="minor"/>
      </rPr>
      <t>โดยประมาณ</t>
    </r>
    <r>
      <rPr>
        <sz val="20"/>
        <color rgb="FFFF0000"/>
        <rFont val="Tahoma"/>
        <family val="2"/>
        <scheme val="minor"/>
      </rPr>
      <t>"</t>
    </r>
  </si>
  <si>
    <t>วันเดือนปี</t>
  </si>
  <si>
    <t>รวมเงินชดเชย 2% และ เงินสมทบ 3%  ตั้งแต่ ต้นปี ปัจจุบัน ถึงวันก่อนพ้นจาราชการ</t>
  </si>
  <si>
    <t>รวมเงินที่จะได้รับจาก กบข. (ยังไม่รวม ผลประโยชน์ ที่เพิ่มขึ้น)   ประมาณ</t>
  </si>
  <si>
    <t xml:space="preserve"> เงินชดเชย + สมทบต่อเดือน (บาท)</t>
  </si>
  <si>
    <t>เงินประเดิม+เงินชดเชย+เงินสมทบ +ผลประโยชน์ของเงินดังกล่าว ดูจากใบที่กบข.แจ้ง ณ สิ้นปี ล่าสุด</t>
  </si>
  <si>
    <t>ร้อยละ</t>
  </si>
  <si>
    <t xml:space="preserve">ประมาณการเลื่อนเงินเดือน </t>
  </si>
  <si>
    <t>อัตราเงินเดือน (บาท)</t>
  </si>
  <si>
    <t>ชดเชย2%+สมทบ3%</t>
  </si>
  <si>
    <r>
      <rPr>
        <b/>
        <sz val="11"/>
        <rFont val="Tahoma"/>
        <family val="2"/>
      </rPr>
      <t xml:space="preserve">  </t>
    </r>
    <r>
      <rPr>
        <b/>
        <u/>
        <sz val="11"/>
        <rFont val="Tahoma"/>
        <family val="2"/>
      </rPr>
      <t>ตัด</t>
    </r>
    <r>
      <rPr>
        <sz val="11"/>
        <rFont val="Tahoma"/>
        <family val="2"/>
      </rPr>
      <t xml:space="preserve"> </t>
    </r>
    <r>
      <rPr>
        <sz val="11"/>
        <color theme="1"/>
        <rFont val="Tahoma"/>
        <family val="2"/>
      </rPr>
      <t>วันลาระหว่างกฎอัยการศึก/วันลาระหว่างทวีคูณอื่น/วันลาโดยไม่ได้รับเงินเดือน (ถ้ามี)</t>
    </r>
  </si>
  <si>
    <t xml:space="preserve">รวมเวลาราชการสุทธิ    </t>
  </si>
  <si>
    <t xml:space="preserve">รวมเวลาราชการสุทธิ  </t>
  </si>
  <si>
    <t>หากเป็นสมาชิกกบข.ต่อ ถือว่าเป็นการได้รับบำนาญมาใช้ล่วงหน้าเดือนละ</t>
  </si>
  <si>
    <r>
      <t xml:space="preserve"> ปี </t>
    </r>
    <r>
      <rPr>
        <sz val="11"/>
        <color theme="1"/>
        <rFont val="Tahoma"/>
        <family val="2"/>
        <scheme val="minor"/>
      </rPr>
      <t>เมื่อพ้นจากราชการ</t>
    </r>
  </si>
  <si>
    <r>
      <t xml:space="preserve">ปี </t>
    </r>
    <r>
      <rPr>
        <sz val="11"/>
        <color theme="1"/>
        <rFont val="Tahoma"/>
        <family val="2"/>
        <scheme val="minor"/>
      </rPr>
      <t>เมื่อพ้นจากราชการ</t>
    </r>
  </si>
  <si>
    <t>หาก undo ท่านจะต้องออมเงินด้วยผลต่างบำนาญ  อีกประมาณเดือนละ</t>
  </si>
  <si>
    <r>
      <t xml:space="preserve">ปี </t>
    </r>
    <r>
      <rPr>
        <sz val="11"/>
        <color theme="1"/>
        <rFont val="Tahoma"/>
        <family val="2"/>
        <scheme val="minor"/>
      </rPr>
      <t>จึงจะเท่ากับเงินก้อน</t>
    </r>
  </si>
  <si>
    <t xml:space="preserve">           กรณี ยื่นแบบแสดงความประสงค์กลับไปใช้สิทธิในบำเหน็จบำนาญตาม พรบ. 2494 (รับบำนาญตาม พรบ.2494) ท่านจะไม่ได้รับเงินตาม 5. ดังกล่าว </t>
  </si>
  <si>
    <t xml:space="preserve">           กรณี เป็นสมาชิกกบข.จนกระทั่งพ้นจากราชการ และขอรับบำนาญ กบข.  ท่านจะได้รับเงินจาก กบข. ตาม 5. </t>
  </si>
  <si>
    <r>
      <t xml:space="preserve">      หากเป็นสมาชิก กบข.ต่อไปจนกระทั่งพ้นจากราชการและขอรับบำนาญ จะได้รับ </t>
    </r>
    <r>
      <rPr>
        <b/>
        <i/>
        <u/>
        <sz val="22"/>
        <color rgb="FFFF0000"/>
        <rFont val="Angsana New"/>
        <family val="1"/>
      </rPr>
      <t>เงินประเดิม เงินชดเชย เงินสมทบ และผลประโยชน์</t>
    </r>
    <r>
      <rPr>
        <b/>
        <u/>
        <sz val="22"/>
        <color rgb="FFFF0000"/>
        <rFont val="Angsana New"/>
        <family val="1"/>
      </rPr>
      <t>ของเงินดังกล่าว</t>
    </r>
    <r>
      <rPr>
        <b/>
        <sz val="22"/>
        <color rgb="FFFF0000"/>
        <rFont val="Angsana New"/>
        <family val="1"/>
      </rPr>
      <t xml:space="preserve"> </t>
    </r>
  </si>
  <si>
    <r>
      <t xml:space="preserve">      หากเป็นสมาชิก กบข.ต่อไปจนกระทั่งพ้นจากราชการและขอรับบำนาญ จะได้รับ</t>
    </r>
    <r>
      <rPr>
        <b/>
        <u/>
        <sz val="18"/>
        <color rgb="FFFF0000"/>
        <rFont val="Angsana New"/>
        <family val="1"/>
      </rPr>
      <t xml:space="preserve"> </t>
    </r>
    <r>
      <rPr>
        <b/>
        <i/>
        <u/>
        <sz val="18"/>
        <color rgb="FFFF0000"/>
        <rFont val="Angsana New"/>
        <family val="1"/>
      </rPr>
      <t>เงินประเดิม เงินชดเชย เงินสมทบ และผลประโยชน์</t>
    </r>
    <r>
      <rPr>
        <b/>
        <u/>
        <sz val="18"/>
        <color rgb="FFFF0000"/>
        <rFont val="Angsana New"/>
        <family val="1"/>
      </rPr>
      <t>ของเงินดังกล่าว</t>
    </r>
    <r>
      <rPr>
        <b/>
        <sz val="18"/>
        <color rgb="FFFF0000"/>
        <rFont val="Angsana New"/>
        <family val="1"/>
      </rPr>
      <t xml:space="preserve"> </t>
    </r>
  </si>
  <si>
    <t xml:space="preserve">          กรณี  เป็นสมาชิก กบข.จนกระทั่งพ้นจากราชการ และขอรับบำนาญ กบข.  ท่านจะได้รับเงินจาก กบข. ตาม 5. </t>
  </si>
  <si>
    <t xml:space="preserve">          กรณี  ยื่นแบบแสดงความประสงค์กลับไปใช้สิทธิในบำเหน็จบำนาญตาม พรบ. 2494 (รับบำนาญตาม พรบ.2494) ท่านจะไม่ได้รับเงินตาม 5.ดังกล่าว </t>
  </si>
  <si>
    <t xml:space="preserve">   5.  กรอกจำนวน (เงินประเดิม + เงินชดเชย + เงินสมทบ) + ผลประโยชน์   (ไม่รวมเงินสะสม และผลประโยชน์)   ที่จะได้รับจาก กบข.  โดยประมาณ</t>
  </si>
  <si>
    <t>นาย..................</t>
  </si>
  <si>
    <t xml:space="preserve">  ***ตารางนี้เป็นเพียงข้อมูลประมาณการประกอบการตัดสินใจเท่านั้น ***</t>
  </si>
  <si>
    <t>***ตารางนี้เป็นเพียงข้อมูลประมาณการประกอบการตัดสินใจเท่านั้น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</si>
</sst>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870000]d/mm/yyyy;@"/>
    <numFmt numFmtId="188" formatCode="_-* #,##0_-;\-* #,##0_-;_-* &quot;-&quot;??_-;_-@_-"/>
    <numFmt numFmtId="189" formatCode="#,##0_ ;\-#,##0\ "/>
    <numFmt numFmtId="190" formatCode="_-* #,##0.0000_-;\-* #,##0.0000_-;_-* &quot;-&quot;??_-;_-@_-"/>
    <numFmt numFmtId="191" formatCode="#,##0.00_ ;\-#,##0.00\ "/>
  </numFmts>
  <fonts count="6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u/>
      <sz val="14"/>
      <color theme="1"/>
      <name val="Tahoma"/>
      <family val="2"/>
      <scheme val="minor"/>
    </font>
    <font>
      <b/>
      <sz val="14"/>
      <color theme="1"/>
      <name val="Tahoma"/>
      <family val="2"/>
    </font>
    <font>
      <b/>
      <sz val="14"/>
      <color rgb="FFFF0000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2"/>
      <color theme="1"/>
      <name val="Angsana New"/>
      <family val="1"/>
    </font>
    <font>
      <sz val="12"/>
      <color theme="1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sz val="16"/>
      <color theme="1"/>
      <name val="Angsana New"/>
      <family val="1"/>
    </font>
    <font>
      <b/>
      <sz val="12"/>
      <color rgb="FFFF0000"/>
      <name val="Tahoma"/>
      <family val="2"/>
      <scheme val="minor"/>
    </font>
    <font>
      <b/>
      <u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u/>
      <sz val="22"/>
      <color rgb="FFFF0000"/>
      <name val="Angsana New"/>
      <family val="1"/>
    </font>
    <font>
      <b/>
      <sz val="22"/>
      <color rgb="FFFF0000"/>
      <name val="Angsana New"/>
      <family val="1"/>
    </font>
    <font>
      <sz val="18"/>
      <color theme="1"/>
      <name val="Tahoma"/>
      <family val="2"/>
      <charset val="222"/>
      <scheme val="minor"/>
    </font>
    <font>
      <b/>
      <sz val="18"/>
      <color rgb="FFFF0000"/>
      <name val="Angsana New"/>
      <family val="1"/>
    </font>
    <font>
      <sz val="18"/>
      <color theme="1"/>
      <name val="Angsana New"/>
      <family val="1"/>
    </font>
    <font>
      <b/>
      <i/>
      <u/>
      <sz val="18"/>
      <color rgb="FFFF0000"/>
      <name val="Angsana New"/>
      <family val="1"/>
    </font>
    <font>
      <sz val="18"/>
      <color rgb="FFFF0000"/>
      <name val="Angsana New"/>
      <family val="1"/>
    </font>
    <font>
      <sz val="22"/>
      <color theme="1"/>
      <name val="Angsana New"/>
      <family val="1"/>
    </font>
    <font>
      <sz val="11"/>
      <color theme="1"/>
      <name val="Angsana New"/>
      <family val="1"/>
    </font>
    <font>
      <b/>
      <sz val="18"/>
      <color rgb="FF00B050"/>
      <name val="Angsana New"/>
      <family val="1"/>
    </font>
    <font>
      <b/>
      <sz val="22"/>
      <color rgb="FF00B050"/>
      <name val="Angsana New"/>
      <family val="1"/>
    </font>
    <font>
      <b/>
      <i/>
      <sz val="18"/>
      <color rgb="FFFF0000"/>
      <name val="Angsana New"/>
      <family val="1"/>
    </font>
    <font>
      <sz val="10"/>
      <name val="Arial"/>
      <family val="2"/>
    </font>
    <font>
      <sz val="14"/>
      <color theme="1"/>
      <name val="Tahoma"/>
      <family val="2"/>
    </font>
    <font>
      <b/>
      <i/>
      <u/>
      <sz val="22"/>
      <color rgb="FFFF0000"/>
      <name val="Angsana New"/>
      <family val="1"/>
    </font>
    <font>
      <sz val="22"/>
      <color rgb="FFFF0000"/>
      <name val="Angsana New"/>
      <family val="1"/>
    </font>
    <font>
      <b/>
      <i/>
      <sz val="22"/>
      <color rgb="FFFF0000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u/>
      <sz val="8"/>
      <color indexed="81"/>
      <name val="Tahoma"/>
      <family val="2"/>
    </font>
    <font>
      <u/>
      <sz val="8"/>
      <color indexed="81"/>
      <name val="Tahoma"/>
      <family val="2"/>
    </font>
    <font>
      <sz val="1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  <font>
      <b/>
      <sz val="11"/>
      <name val="Tahoma"/>
      <family val="2"/>
      <scheme val="minor"/>
    </font>
    <font>
      <sz val="12"/>
      <name val="Tahoma"/>
      <family val="2"/>
      <charset val="222"/>
      <scheme val="minor"/>
    </font>
    <font>
      <i/>
      <sz val="12"/>
      <color theme="1"/>
      <name val="Tahoma"/>
      <family val="2"/>
      <charset val="222"/>
      <scheme val="minor"/>
    </font>
    <font>
      <u/>
      <sz val="12"/>
      <color theme="1"/>
      <name val="Tahoma"/>
      <family val="2"/>
      <scheme val="minor"/>
    </font>
    <font>
      <b/>
      <sz val="12"/>
      <name val="Tahoma"/>
      <family val="2"/>
      <charset val="222"/>
      <scheme val="minor"/>
    </font>
    <font>
      <b/>
      <sz val="12"/>
      <color theme="1"/>
      <name val="Tahoma"/>
      <family val="2"/>
      <charset val="222"/>
      <scheme val="minor"/>
    </font>
    <font>
      <sz val="12"/>
      <color rgb="FFFF0000"/>
      <name val="Wingdings"/>
      <charset val="2"/>
    </font>
    <font>
      <b/>
      <u/>
      <sz val="18"/>
      <color rgb="FFFF0000"/>
      <name val="Angsana New"/>
      <family val="1"/>
    </font>
    <font>
      <sz val="22"/>
      <color theme="1"/>
      <name val="Tahoma"/>
      <family val="2"/>
      <charset val="222"/>
      <scheme val="minor"/>
    </font>
    <font>
      <sz val="22"/>
      <color rgb="FFFF0000"/>
      <name val="Wingdings"/>
      <charset val="2"/>
    </font>
    <font>
      <sz val="20"/>
      <color theme="1"/>
      <name val="Tahoma"/>
      <family val="2"/>
      <charset val="222"/>
      <scheme val="minor"/>
    </font>
    <font>
      <sz val="20"/>
      <color rgb="FFFF0000"/>
      <name val="Tahoma"/>
      <family val="2"/>
      <scheme val="minor"/>
    </font>
    <font>
      <b/>
      <i/>
      <u/>
      <sz val="20"/>
      <color rgb="FFFF0000"/>
      <name val="Tahoma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charset val="222"/>
    </font>
    <font>
      <b/>
      <sz val="11"/>
      <name val="Tahoma"/>
      <family val="2"/>
    </font>
    <font>
      <b/>
      <u/>
      <sz val="11"/>
      <name val="Tahoma"/>
      <family val="2"/>
    </font>
    <font>
      <sz val="1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6" fillId="0" borderId="0"/>
    <xf numFmtId="0" fontId="1" fillId="0" borderId="0"/>
    <xf numFmtId="0" fontId="36" fillId="0" borderId="0"/>
  </cellStyleXfs>
  <cellXfs count="601">
    <xf numFmtId="0" fontId="0" fillId="0" borderId="0" xfId="0"/>
    <xf numFmtId="0" fontId="0" fillId="0" borderId="0" xfId="0" applyProtection="1"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187" fontId="9" fillId="2" borderId="6" xfId="0" applyNumberFormat="1" applyFont="1" applyFill="1" applyBorder="1" applyAlignment="1" applyProtection="1">
      <alignment vertical="center"/>
      <protection hidden="1"/>
    </xf>
    <xf numFmtId="43" fontId="9" fillId="3" borderId="0" xfId="1" applyFont="1" applyFill="1" applyBorder="1" applyAlignment="1" applyProtection="1">
      <alignment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right" vertical="center"/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8" xfId="0" applyFont="1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9" fillId="0" borderId="14" xfId="0" applyFont="1" applyBorder="1" applyAlignment="1" applyProtection="1">
      <alignment horizontal="left"/>
      <protection hidden="1"/>
    </xf>
    <xf numFmtId="187" fontId="9" fillId="0" borderId="15" xfId="0" applyNumberFormat="1" applyFont="1" applyFill="1" applyBorder="1" applyProtection="1">
      <protection hidden="1"/>
    </xf>
    <xf numFmtId="187" fontId="9" fillId="4" borderId="15" xfId="0" applyNumberFormat="1" applyFont="1" applyFill="1" applyBorder="1" applyProtection="1">
      <protection hidden="1"/>
    </xf>
    <xf numFmtId="187" fontId="9" fillId="2" borderId="15" xfId="0" applyNumberFormat="1" applyFont="1" applyFill="1" applyBorder="1" applyProtection="1">
      <protection hidden="1"/>
    </xf>
    <xf numFmtId="14" fontId="9" fillId="0" borderId="16" xfId="0" applyNumberFormat="1" applyFont="1" applyBorder="1" applyProtection="1">
      <protection hidden="1"/>
    </xf>
    <xf numFmtId="188" fontId="9" fillId="0" borderId="14" xfId="0" applyNumberFormat="1" applyFont="1" applyFill="1" applyBorder="1" applyAlignment="1" applyProtection="1">
      <protection hidden="1"/>
    </xf>
    <xf numFmtId="188" fontId="9" fillId="5" borderId="17" xfId="0" applyNumberFormat="1" applyFont="1" applyFill="1" applyBorder="1" applyAlignment="1" applyProtection="1">
      <protection hidden="1"/>
    </xf>
    <xf numFmtId="188" fontId="9" fillId="0" borderId="16" xfId="0" applyNumberFormat="1" applyFont="1" applyFill="1" applyBorder="1" applyAlignment="1" applyProtection="1">
      <protection hidden="1"/>
    </xf>
    <xf numFmtId="188" fontId="9" fillId="0" borderId="5" xfId="0" applyNumberFormat="1" applyFont="1" applyBorder="1" applyAlignment="1" applyProtection="1">
      <protection hidden="1"/>
    </xf>
    <xf numFmtId="188" fontId="9" fillId="0" borderId="17" xfId="0" applyNumberFormat="1" applyFont="1" applyBorder="1" applyAlignment="1" applyProtection="1">
      <protection hidden="1"/>
    </xf>
    <xf numFmtId="188" fontId="9" fillId="0" borderId="17" xfId="0" applyNumberFormat="1" applyFont="1" applyBorder="1" applyAlignment="1" applyProtection="1">
      <alignment vertical="center"/>
      <protection hidden="1"/>
    </xf>
    <xf numFmtId="188" fontId="9" fillId="5" borderId="17" xfId="0" applyNumberFormat="1" applyFont="1" applyFill="1" applyBorder="1" applyAlignment="1" applyProtection="1">
      <alignment vertical="center"/>
      <protection hidden="1"/>
    </xf>
    <xf numFmtId="188" fontId="9" fillId="5" borderId="18" xfId="0" applyNumberFormat="1" applyFont="1" applyFill="1" applyBorder="1" applyAlignment="1" applyProtection="1">
      <alignment horizontal="center" vertical="center"/>
      <protection hidden="1"/>
    </xf>
    <xf numFmtId="188" fontId="9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left"/>
      <protection hidden="1"/>
    </xf>
    <xf numFmtId="14" fontId="9" fillId="0" borderId="18" xfId="0" applyNumberFormat="1" applyFont="1" applyFill="1" applyBorder="1" applyProtection="1">
      <protection hidden="1"/>
    </xf>
    <xf numFmtId="14" fontId="9" fillId="0" borderId="19" xfId="0" applyNumberFormat="1" applyFont="1" applyFill="1" applyBorder="1" applyProtection="1">
      <protection hidden="1"/>
    </xf>
    <xf numFmtId="188" fontId="9" fillId="0" borderId="20" xfId="0" applyNumberFormat="1" applyFont="1" applyFill="1" applyBorder="1" applyAlignment="1" applyProtection="1">
      <protection hidden="1"/>
    </xf>
    <xf numFmtId="188" fontId="9" fillId="4" borderId="18" xfId="0" applyNumberFormat="1" applyFont="1" applyFill="1" applyBorder="1" applyAlignment="1" applyProtection="1">
      <protection hidden="1"/>
    </xf>
    <xf numFmtId="188" fontId="9" fillId="2" borderId="19" xfId="0" applyNumberFormat="1" applyFont="1" applyFill="1" applyBorder="1" applyAlignment="1" applyProtection="1">
      <protection hidden="1"/>
    </xf>
    <xf numFmtId="188" fontId="9" fillId="2" borderId="20" xfId="0" applyNumberFormat="1" applyFont="1" applyFill="1" applyBorder="1" applyAlignment="1" applyProtection="1">
      <protection hidden="1"/>
    </xf>
    <xf numFmtId="188" fontId="9" fillId="2" borderId="17" xfId="0" applyNumberFormat="1" applyFont="1" applyFill="1" applyBorder="1" applyAlignment="1" applyProtection="1">
      <protection hidden="1"/>
    </xf>
    <xf numFmtId="14" fontId="9" fillId="0" borderId="20" xfId="0" applyNumberFormat="1" applyFont="1" applyBorder="1" applyAlignment="1" applyProtection="1">
      <alignment horizontal="left"/>
      <protection hidden="1"/>
    </xf>
    <xf numFmtId="188" fontId="9" fillId="2" borderId="21" xfId="0" applyNumberFormat="1" applyFont="1" applyFill="1" applyBorder="1" applyAlignment="1" applyProtection="1">
      <protection hidden="1"/>
    </xf>
    <xf numFmtId="188" fontId="9" fillId="2" borderId="18" xfId="0" applyNumberFormat="1" applyFont="1" applyFill="1" applyBorder="1" applyAlignment="1" applyProtection="1">
      <protection hidden="1"/>
    </xf>
    <xf numFmtId="0" fontId="9" fillId="0" borderId="21" xfId="0" applyFont="1" applyBorder="1" applyAlignment="1" applyProtection="1">
      <alignment horizontal="left"/>
      <protection hidden="1"/>
    </xf>
    <xf numFmtId="187" fontId="9" fillId="2" borderId="23" xfId="0" applyNumberFormat="1" applyFont="1" applyFill="1" applyBorder="1" applyProtection="1">
      <protection hidden="1"/>
    </xf>
    <xf numFmtId="14" fontId="9" fillId="0" borderId="19" xfId="0" applyNumberFormat="1" applyFont="1" applyBorder="1" applyProtection="1">
      <protection hidden="1"/>
    </xf>
    <xf numFmtId="188" fontId="9" fillId="5" borderId="18" xfId="0" applyNumberFormat="1" applyFont="1" applyFill="1" applyBorder="1" applyAlignment="1" applyProtection="1">
      <protection hidden="1"/>
    </xf>
    <xf numFmtId="188" fontId="9" fillId="0" borderId="19" xfId="0" applyNumberFormat="1" applyFont="1" applyFill="1" applyBorder="1" applyAlignment="1" applyProtection="1">
      <protection hidden="1"/>
    </xf>
    <xf numFmtId="188" fontId="9" fillId="0" borderId="20" xfId="0" applyNumberFormat="1" applyFont="1" applyBorder="1" applyAlignment="1" applyProtection="1">
      <protection hidden="1"/>
    </xf>
    <xf numFmtId="0" fontId="9" fillId="0" borderId="26" xfId="0" applyFont="1" applyBorder="1" applyAlignment="1" applyProtection="1">
      <alignment horizontal="left"/>
      <protection hidden="1"/>
    </xf>
    <xf numFmtId="14" fontId="9" fillId="0" borderId="27" xfId="0" applyNumberFormat="1" applyFont="1" applyFill="1" applyBorder="1" applyProtection="1">
      <protection hidden="1"/>
    </xf>
    <xf numFmtId="14" fontId="9" fillId="2" borderId="28" xfId="0" applyNumberFormat="1" applyFont="1" applyFill="1" applyBorder="1" applyProtection="1">
      <protection hidden="1"/>
    </xf>
    <xf numFmtId="188" fontId="9" fillId="2" borderId="29" xfId="0" applyNumberFormat="1" applyFont="1" applyFill="1" applyBorder="1" applyAlignment="1" applyProtection="1">
      <protection hidden="1"/>
    </xf>
    <xf numFmtId="188" fontId="9" fillId="2" borderId="0" xfId="0" applyNumberFormat="1" applyFont="1" applyFill="1" applyBorder="1" applyAlignment="1" applyProtection="1">
      <protection hidden="1"/>
    </xf>
    <xf numFmtId="188" fontId="9" fillId="2" borderId="28" xfId="0" applyNumberFormat="1" applyFont="1" applyFill="1" applyBorder="1" applyAlignment="1" applyProtection="1">
      <protection hidden="1"/>
    </xf>
    <xf numFmtId="188" fontId="9" fillId="2" borderId="30" xfId="0" applyNumberFormat="1" applyFont="1" applyFill="1" applyBorder="1" applyAlignment="1" applyProtection="1">
      <protection hidden="1"/>
    </xf>
    <xf numFmtId="188" fontId="9" fillId="0" borderId="29" xfId="0" applyNumberFormat="1" applyFont="1" applyBorder="1" applyAlignment="1" applyProtection="1">
      <alignment vertical="center"/>
      <protection hidden="1"/>
    </xf>
    <xf numFmtId="188" fontId="9" fillId="5" borderId="29" xfId="0" applyNumberFormat="1" applyFont="1" applyFill="1" applyBorder="1" applyAlignment="1" applyProtection="1">
      <alignment vertical="center"/>
      <protection hidden="1"/>
    </xf>
    <xf numFmtId="188" fontId="9" fillId="5" borderId="29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188" fontId="8" fillId="0" borderId="9" xfId="0" applyNumberFormat="1" applyFont="1" applyBorder="1" applyAlignment="1" applyProtection="1">
      <protection hidden="1"/>
    </xf>
    <xf numFmtId="188" fontId="8" fillId="0" borderId="31" xfId="0" applyNumberFormat="1" applyFont="1" applyBorder="1" applyAlignment="1" applyProtection="1">
      <protection hidden="1"/>
    </xf>
    <xf numFmtId="188" fontId="8" fillId="0" borderId="8" xfId="0" applyNumberFormat="1" applyFont="1" applyFill="1" applyBorder="1" applyAlignment="1" applyProtection="1">
      <protection hidden="1"/>
    </xf>
    <xf numFmtId="188" fontId="8" fillId="5" borderId="31" xfId="0" applyNumberFormat="1" applyFont="1" applyFill="1" applyBorder="1" applyAlignment="1" applyProtection="1">
      <protection hidden="1"/>
    </xf>
    <xf numFmtId="188" fontId="8" fillId="5" borderId="6" xfId="0" applyNumberFormat="1" applyFont="1" applyFill="1" applyBorder="1" applyAlignment="1" applyProtection="1">
      <protection hidden="1"/>
    </xf>
    <xf numFmtId="188" fontId="8" fillId="5" borderId="9" xfId="0" applyNumberFormat="1" applyFont="1" applyFill="1" applyBorder="1" applyAlignment="1" applyProtection="1">
      <protection hidden="1"/>
    </xf>
    <xf numFmtId="188" fontId="8" fillId="0" borderId="0" xfId="0" applyNumberFormat="1" applyFont="1" applyFill="1" applyBorder="1" applyAlignment="1" applyProtection="1">
      <protection hidden="1"/>
    </xf>
    <xf numFmtId="188" fontId="8" fillId="0" borderId="0" xfId="0" applyNumberFormat="1" applyFont="1" applyAlignment="1" applyProtection="1">
      <protection hidden="1"/>
    </xf>
    <xf numFmtId="0" fontId="9" fillId="0" borderId="8" xfId="0" applyFont="1" applyBorder="1" applyProtection="1">
      <protection hidden="1"/>
    </xf>
    <xf numFmtId="0" fontId="9" fillId="0" borderId="31" xfId="0" applyFont="1" applyBorder="1" applyProtection="1">
      <protection hidden="1"/>
    </xf>
    <xf numFmtId="189" fontId="8" fillId="0" borderId="9" xfId="0" applyNumberFormat="1" applyFont="1" applyBorder="1" applyAlignment="1" applyProtection="1">
      <protection hidden="1"/>
    </xf>
    <xf numFmtId="188" fontId="8" fillId="0" borderId="6" xfId="0" applyNumberFormat="1" applyFont="1" applyBorder="1" applyAlignment="1" applyProtection="1">
      <protection hidden="1"/>
    </xf>
    <xf numFmtId="189" fontId="11" fillId="0" borderId="9" xfId="1" applyNumberFormat="1" applyFont="1" applyBorder="1" applyProtection="1">
      <protection hidden="1"/>
    </xf>
    <xf numFmtId="189" fontId="8" fillId="5" borderId="9" xfId="0" applyNumberFormat="1" applyFont="1" applyFill="1" applyBorder="1" applyAlignment="1" applyProtection="1">
      <protection hidden="1"/>
    </xf>
    <xf numFmtId="189" fontId="8" fillId="0" borderId="6" xfId="0" applyNumberFormat="1" applyFont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32" xfId="0" applyFont="1" applyBorder="1" applyAlignment="1" applyProtection="1">
      <alignment horizontal="center"/>
      <protection hidden="1"/>
    </xf>
    <xf numFmtId="43" fontId="8" fillId="0" borderId="33" xfId="1" applyFont="1" applyFill="1" applyBorder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190" fontId="8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43" fontId="15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protection hidden="1"/>
    </xf>
    <xf numFmtId="43" fontId="11" fillId="0" borderId="0" xfId="0" applyNumberFormat="1" applyFont="1" applyProtection="1">
      <protection hidden="1"/>
    </xf>
    <xf numFmtId="0" fontId="11" fillId="0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43" fontId="18" fillId="0" borderId="0" xfId="1" applyFont="1" applyFill="1" applyBorder="1" applyAlignment="1" applyProtection="1">
      <alignment horizontal="center" vertical="center"/>
      <protection hidden="1"/>
    </xf>
    <xf numFmtId="0" fontId="11" fillId="0" borderId="8" xfId="0" applyFont="1" applyBorder="1" applyProtection="1">
      <protection hidden="1"/>
    </xf>
    <xf numFmtId="0" fontId="0" fillId="0" borderId="31" xfId="0" applyBorder="1" applyProtection="1">
      <protection hidden="1"/>
    </xf>
    <xf numFmtId="43" fontId="18" fillId="0" borderId="31" xfId="1" applyFont="1" applyFill="1" applyBorder="1" applyAlignment="1" applyProtection="1">
      <alignment horizontal="center" vertical="center"/>
      <protection hidden="1"/>
    </xf>
    <xf numFmtId="0" fontId="0" fillId="0" borderId="31" xfId="0" applyFill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34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187" fontId="16" fillId="2" borderId="18" xfId="0" applyNumberFormat="1" applyFont="1" applyFill="1" applyBorder="1" applyProtection="1">
      <protection hidden="1"/>
    </xf>
    <xf numFmtId="14" fontId="16" fillId="4" borderId="18" xfId="0" applyNumberFormat="1" applyFont="1" applyFill="1" applyBorder="1" applyProtection="1">
      <protection hidden="1"/>
    </xf>
    <xf numFmtId="41" fontId="16" fillId="0" borderId="13" xfId="0" applyNumberFormat="1" applyFont="1" applyFill="1" applyBorder="1" applyAlignment="1" applyProtection="1">
      <alignment horizontal="center"/>
      <protection hidden="1"/>
    </xf>
    <xf numFmtId="43" fontId="0" fillId="2" borderId="14" xfId="1" applyFont="1" applyFill="1" applyBorder="1" applyAlignment="1" applyProtection="1">
      <protection hidden="1"/>
    </xf>
    <xf numFmtId="0" fontId="16" fillId="2" borderId="18" xfId="0" applyFont="1" applyFill="1" applyBorder="1" applyProtection="1">
      <protection hidden="1"/>
    </xf>
    <xf numFmtId="43" fontId="16" fillId="0" borderId="18" xfId="1" applyFont="1" applyBorder="1" applyProtection="1">
      <protection hidden="1"/>
    </xf>
    <xf numFmtId="43" fontId="16" fillId="0" borderId="0" xfId="1" applyFont="1" applyBorder="1" applyProtection="1">
      <protection hidden="1"/>
    </xf>
    <xf numFmtId="43" fontId="0" fillId="0" borderId="0" xfId="0" applyNumberFormat="1" applyBorder="1" applyProtection="1">
      <protection hidden="1"/>
    </xf>
    <xf numFmtId="41" fontId="16" fillId="0" borderId="19" xfId="0" applyNumberFormat="1" applyFont="1" applyFill="1" applyBorder="1" applyAlignment="1" applyProtection="1">
      <alignment horizontal="center"/>
      <protection hidden="1"/>
    </xf>
    <xf numFmtId="43" fontId="0" fillId="2" borderId="20" xfId="1" applyFont="1" applyFill="1" applyBorder="1" applyAlignment="1" applyProtection="1">
      <protection hidden="1"/>
    </xf>
    <xf numFmtId="14" fontId="16" fillId="4" borderId="23" xfId="0" applyNumberFormat="1" applyFont="1" applyFill="1" applyBorder="1" applyProtection="1">
      <protection hidden="1"/>
    </xf>
    <xf numFmtId="43" fontId="0" fillId="2" borderId="21" xfId="1" applyFont="1" applyFill="1" applyBorder="1" applyAlignment="1" applyProtection="1">
      <protection hidden="1"/>
    </xf>
    <xf numFmtId="0" fontId="0" fillId="2" borderId="19" xfId="0" applyFill="1" applyBorder="1" applyAlignment="1" applyProtection="1">
      <protection hidden="1"/>
    </xf>
    <xf numFmtId="0" fontId="0" fillId="2" borderId="20" xfId="0" applyFill="1" applyBorder="1" applyAlignment="1" applyProtection="1">
      <protection hidden="1"/>
    </xf>
    <xf numFmtId="0" fontId="0" fillId="2" borderId="22" xfId="0" applyFill="1" applyBorder="1" applyProtection="1">
      <protection hidden="1"/>
    </xf>
    <xf numFmtId="187" fontId="16" fillId="2" borderId="23" xfId="0" applyNumberFormat="1" applyFont="1" applyFill="1" applyBorder="1" applyProtection="1">
      <protection hidden="1"/>
    </xf>
    <xf numFmtId="14" fontId="16" fillId="4" borderId="27" xfId="0" applyNumberFormat="1" applyFont="1" applyFill="1" applyBorder="1" applyProtection="1">
      <protection hidden="1"/>
    </xf>
    <xf numFmtId="41" fontId="16" fillId="0" borderId="24" xfId="0" applyNumberFormat="1" applyFont="1" applyFill="1" applyBorder="1" applyAlignment="1" applyProtection="1">
      <alignment horizontal="center"/>
      <protection hidden="1"/>
    </xf>
    <xf numFmtId="43" fontId="0" fillId="2" borderId="25" xfId="1" applyFont="1" applyFill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41" fontId="11" fillId="0" borderId="8" xfId="0" applyNumberFormat="1" applyFont="1" applyBorder="1" applyAlignment="1" applyProtection="1">
      <alignment horizontal="center"/>
      <protection hidden="1"/>
    </xf>
    <xf numFmtId="0" fontId="19" fillId="0" borderId="28" xfId="0" applyFont="1" applyBorder="1" applyAlignment="1" applyProtection="1">
      <protection hidden="1"/>
    </xf>
    <xf numFmtId="1" fontId="11" fillId="0" borderId="7" xfId="0" applyNumberFormat="1" applyFont="1" applyBorder="1" applyAlignment="1" applyProtection="1">
      <protection hidden="1"/>
    </xf>
    <xf numFmtId="0" fontId="16" fillId="0" borderId="7" xfId="0" applyFont="1" applyBorder="1" applyAlignment="1" applyProtection="1">
      <protection hidden="1"/>
    </xf>
    <xf numFmtId="0" fontId="16" fillId="0" borderId="7" xfId="0" applyFont="1" applyFill="1" applyBorder="1" applyAlignment="1" applyProtection="1">
      <protection hidden="1"/>
    </xf>
    <xf numFmtId="0" fontId="16" fillId="0" borderId="5" xfId="0" applyFont="1" applyBorder="1" applyAlignment="1" applyProtection="1">
      <protection hidden="1"/>
    </xf>
    <xf numFmtId="43" fontId="16" fillId="0" borderId="6" xfId="1" applyFont="1" applyBorder="1" applyProtection="1">
      <protection hidden="1"/>
    </xf>
    <xf numFmtId="43" fontId="16" fillId="0" borderId="35" xfId="1" applyFont="1" applyBorder="1" applyProtection="1">
      <protection hidden="1"/>
    </xf>
    <xf numFmtId="43" fontId="16" fillId="0" borderId="15" xfId="1" applyFont="1" applyBorder="1" applyProtection="1">
      <protection hidden="1"/>
    </xf>
    <xf numFmtId="0" fontId="16" fillId="0" borderId="28" xfId="0" applyFont="1" applyBorder="1" applyProtection="1">
      <protection hidden="1"/>
    </xf>
    <xf numFmtId="0" fontId="16" fillId="0" borderId="0" xfId="0" applyFont="1" applyBorder="1" applyProtection="1">
      <protection hidden="1"/>
    </xf>
    <xf numFmtId="43" fontId="16" fillId="0" borderId="23" xfId="1" applyFont="1" applyBorder="1" applyProtection="1">
      <protection hidden="1"/>
    </xf>
    <xf numFmtId="0" fontId="16" fillId="0" borderId="0" xfId="0" applyFont="1" applyBorder="1" applyAlignment="1" applyProtection="1">
      <protection hidden="1"/>
    </xf>
    <xf numFmtId="43" fontId="16" fillId="0" borderId="0" xfId="0" applyNumberFormat="1" applyFont="1" applyBorder="1" applyAlignment="1" applyProtection="1"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29" xfId="0" applyFont="1" applyBorder="1" applyAlignment="1" applyProtection="1">
      <protection hidden="1"/>
    </xf>
    <xf numFmtId="49" fontId="16" fillId="0" borderId="0" xfId="0" applyNumberFormat="1" applyFont="1" applyBorder="1" applyAlignment="1" applyProtection="1">
      <protection hidden="1"/>
    </xf>
    <xf numFmtId="49" fontId="16" fillId="0" borderId="29" xfId="0" applyNumberFormat="1" applyFont="1" applyBorder="1" applyAlignment="1" applyProtection="1">
      <protection hidden="1"/>
    </xf>
    <xf numFmtId="43" fontId="16" fillId="0" borderId="30" xfId="0" applyNumberFormat="1" applyFont="1" applyBorder="1" applyProtection="1">
      <protection hidden="1"/>
    </xf>
    <xf numFmtId="43" fontId="16" fillId="0" borderId="0" xfId="0" applyNumberFormat="1" applyFont="1" applyBorder="1" applyProtection="1">
      <protection hidden="1"/>
    </xf>
    <xf numFmtId="0" fontId="16" fillId="0" borderId="10" xfId="0" applyFont="1" applyBorder="1" applyProtection="1">
      <protection hidden="1"/>
    </xf>
    <xf numFmtId="49" fontId="16" fillId="0" borderId="11" xfId="0" applyNumberFormat="1" applyFont="1" applyBorder="1" applyAlignment="1" applyProtection="1">
      <protection hidden="1"/>
    </xf>
    <xf numFmtId="0" fontId="0" fillId="0" borderId="11" xfId="0" applyBorder="1" applyAlignment="1" applyProtection="1">
      <alignment horizontal="right"/>
      <protection hidden="1"/>
    </xf>
    <xf numFmtId="43" fontId="16" fillId="0" borderId="11" xfId="0" applyNumberFormat="1" applyFont="1" applyBorder="1" applyAlignment="1" applyProtection="1">
      <protection hidden="1"/>
    </xf>
    <xf numFmtId="0" fontId="16" fillId="0" borderId="11" xfId="0" applyFont="1" applyBorder="1" applyAlignment="1" applyProtection="1">
      <protection hidden="1"/>
    </xf>
    <xf numFmtId="49" fontId="16" fillId="0" borderId="12" xfId="0" applyNumberFormat="1" applyFont="1" applyBorder="1" applyAlignment="1" applyProtection="1">
      <protection hidden="1"/>
    </xf>
    <xf numFmtId="43" fontId="16" fillId="0" borderId="27" xfId="0" applyNumberFormat="1" applyFont="1" applyBorder="1" applyProtection="1">
      <protection hidden="1"/>
    </xf>
    <xf numFmtId="0" fontId="20" fillId="0" borderId="4" xfId="0" applyFont="1" applyBorder="1" applyProtection="1">
      <protection hidden="1"/>
    </xf>
    <xf numFmtId="0" fontId="20" fillId="0" borderId="7" xfId="0" applyFont="1" applyBorder="1" applyProtection="1"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16" fillId="0" borderId="7" xfId="0" applyFont="1" applyBorder="1" applyProtection="1">
      <protection hidden="1"/>
    </xf>
    <xf numFmtId="0" fontId="16" fillId="0" borderId="7" xfId="0" applyFont="1" applyFill="1" applyBorder="1" applyProtection="1">
      <protection hidden="1"/>
    </xf>
    <xf numFmtId="0" fontId="16" fillId="0" borderId="5" xfId="0" applyFont="1" applyBorder="1" applyProtection="1">
      <protection hidden="1"/>
    </xf>
    <xf numFmtId="43" fontId="16" fillId="0" borderId="0" xfId="0" applyNumberFormat="1" applyFont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29" xfId="0" applyFont="1" applyBorder="1" applyProtection="1">
      <protection hidden="1"/>
    </xf>
    <xf numFmtId="4" fontId="16" fillId="0" borderId="0" xfId="0" applyNumberFormat="1" applyFont="1" applyBorder="1" applyAlignment="1" applyProtection="1">
      <alignment horizontal="left"/>
      <protection hidden="1"/>
    </xf>
    <xf numFmtId="4" fontId="0" fillId="0" borderId="0" xfId="0" applyNumberFormat="1" applyBorder="1" applyProtection="1">
      <protection hidden="1"/>
    </xf>
    <xf numFmtId="43" fontId="12" fillId="0" borderId="0" xfId="1" applyFont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1" fillId="0" borderId="10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6" fillId="0" borderId="11" xfId="0" applyFont="1" applyBorder="1" applyAlignment="1" applyProtection="1">
      <alignment horizontal="center"/>
      <protection hidden="1"/>
    </xf>
    <xf numFmtId="43" fontId="11" fillId="0" borderId="11" xfId="1" applyFont="1" applyBorder="1" applyAlignment="1" applyProtection="1">
      <alignment horizontal="right"/>
      <protection hidden="1"/>
    </xf>
    <xf numFmtId="0" fontId="16" fillId="0" borderId="11" xfId="0" applyFont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16" fillId="0" borderId="12" xfId="0" applyFont="1" applyBorder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4" fontId="16" fillId="0" borderId="0" xfId="0" applyNumberFormat="1" applyFont="1" applyAlignment="1" applyProtection="1">
      <alignment horizontal="left"/>
      <protection hidden="1"/>
    </xf>
    <xf numFmtId="43" fontId="16" fillId="0" borderId="0" xfId="1" applyFont="1" applyBorder="1" applyAlignment="1" applyProtection="1">
      <alignment horizontal="center"/>
      <protection hidden="1"/>
    </xf>
    <xf numFmtId="0" fontId="12" fillId="0" borderId="28" xfId="0" applyFont="1" applyBorder="1" applyProtection="1">
      <protection hidden="1"/>
    </xf>
    <xf numFmtId="0" fontId="0" fillId="0" borderId="29" xfId="0" applyBorder="1" applyProtection="1">
      <protection hidden="1"/>
    </xf>
    <xf numFmtId="0" fontId="0" fillId="0" borderId="11" xfId="0" applyBorder="1" applyProtection="1">
      <protection hidden="1"/>
    </xf>
    <xf numFmtId="43" fontId="21" fillId="0" borderId="11" xfId="1" applyFont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12" xfId="0" applyBorder="1" applyProtection="1">
      <protection hidden="1"/>
    </xf>
    <xf numFmtId="0" fontId="22" fillId="0" borderId="0" xfId="0" applyFont="1" applyProtection="1">
      <protection hidden="1"/>
    </xf>
    <xf numFmtId="0" fontId="13" fillId="0" borderId="0" xfId="0" applyFont="1" applyFill="1" applyProtection="1">
      <protection hidden="1"/>
    </xf>
    <xf numFmtId="0" fontId="12" fillId="0" borderId="8" xfId="0" applyFont="1" applyBorder="1" applyAlignment="1" applyProtection="1">
      <protection hidden="1"/>
    </xf>
    <xf numFmtId="0" fontId="12" fillId="0" borderId="31" xfId="0" applyFont="1" applyBorder="1" applyAlignment="1" applyProtection="1">
      <protection hidden="1"/>
    </xf>
    <xf numFmtId="43" fontId="12" fillId="0" borderId="31" xfId="0" applyNumberFormat="1" applyFont="1" applyBorder="1" applyAlignment="1" applyProtection="1">
      <protection hidden="1"/>
    </xf>
    <xf numFmtId="0" fontId="11" fillId="0" borderId="31" xfId="0" applyFont="1" applyBorder="1" applyAlignment="1" applyProtection="1">
      <protection hidden="1"/>
    </xf>
    <xf numFmtId="0" fontId="12" fillId="0" borderId="9" xfId="0" applyFont="1" applyBorder="1" applyAlignment="1" applyProtection="1">
      <protection hidden="1"/>
    </xf>
    <xf numFmtId="43" fontId="12" fillId="0" borderId="6" xfId="1" applyFont="1" applyBorder="1" applyProtection="1">
      <protection hidden="1"/>
    </xf>
    <xf numFmtId="0" fontId="12" fillId="0" borderId="6" xfId="0" applyFont="1" applyBorder="1" applyProtection="1">
      <protection hidden="1"/>
    </xf>
    <xf numFmtId="0" fontId="12" fillId="0" borderId="6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43" fontId="12" fillId="2" borderId="6" xfId="1" applyFont="1" applyFill="1" applyBorder="1" applyProtection="1">
      <protection hidden="1"/>
    </xf>
    <xf numFmtId="0" fontId="0" fillId="0" borderId="8" xfId="0" applyBorder="1" applyProtection="1">
      <protection hidden="1"/>
    </xf>
    <xf numFmtId="2" fontId="12" fillId="0" borderId="31" xfId="0" applyNumberFormat="1" applyFont="1" applyBorder="1" applyProtection="1">
      <protection hidden="1"/>
    </xf>
    <xf numFmtId="0" fontId="13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2" fontId="26" fillId="0" borderId="0" xfId="0" applyNumberFormat="1" applyFont="1" applyProtection="1"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8" fillId="0" borderId="0" xfId="0" applyFont="1" applyFill="1" applyProtection="1"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2" fillId="0" borderId="0" xfId="0" applyFont="1" applyFill="1" applyProtection="1">
      <protection hidden="1"/>
    </xf>
    <xf numFmtId="187" fontId="23" fillId="4" borderId="18" xfId="0" applyNumberFormat="1" applyFont="1" applyFill="1" applyBorder="1" applyProtection="1">
      <protection hidden="1"/>
    </xf>
    <xf numFmtId="14" fontId="23" fillId="4" borderId="18" xfId="0" applyNumberFormat="1" applyFont="1" applyFill="1" applyBorder="1" applyProtection="1">
      <protection hidden="1"/>
    </xf>
    <xf numFmtId="41" fontId="23" fillId="0" borderId="18" xfId="0" applyNumberFormat="1" applyFont="1" applyFill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34" fillId="0" borderId="0" xfId="0" applyFont="1" applyProtection="1">
      <protection hidden="1"/>
    </xf>
    <xf numFmtId="187" fontId="16" fillId="0" borderId="0" xfId="0" applyNumberFormat="1" applyFont="1" applyFill="1" applyBorder="1" applyProtection="1">
      <protection hidden="1"/>
    </xf>
    <xf numFmtId="14" fontId="16" fillId="0" borderId="0" xfId="0" applyNumberFormat="1" applyFont="1" applyFill="1" applyBorder="1" applyProtection="1">
      <protection hidden="1"/>
    </xf>
    <xf numFmtId="41" fontId="16" fillId="0" borderId="0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43" fontId="16" fillId="0" borderId="0" xfId="1" applyFont="1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21" xfId="0" applyFont="1" applyBorder="1" applyAlignment="1" applyProtection="1">
      <alignment horizontal="center"/>
      <protection hidden="1"/>
    </xf>
    <xf numFmtId="0" fontId="0" fillId="0" borderId="27" xfId="0" applyFont="1" applyBorder="1" applyProtection="1">
      <protection hidden="1"/>
    </xf>
    <xf numFmtId="41" fontId="21" fillId="0" borderId="27" xfId="0" applyNumberFormat="1" applyFont="1" applyBorder="1" applyProtection="1">
      <protection hidden="1"/>
    </xf>
    <xf numFmtId="187" fontId="23" fillId="4" borderId="18" xfId="0" applyNumberFormat="1" applyFont="1" applyFill="1" applyBorder="1" applyAlignment="1" applyProtection="1">
      <protection hidden="1"/>
    </xf>
    <xf numFmtId="14" fontId="23" fillId="4" borderId="18" xfId="0" applyNumberFormat="1" applyFont="1" applyFill="1" applyBorder="1" applyAlignment="1" applyProtection="1">
      <protection hidden="1"/>
    </xf>
    <xf numFmtId="0" fontId="32" fillId="0" borderId="0" xfId="0" applyFont="1" applyAlignment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41" fontId="21" fillId="0" borderId="0" xfId="0" applyNumberFormat="1" applyFont="1" applyBorder="1" applyProtection="1">
      <protection hidden="1"/>
    </xf>
    <xf numFmtId="0" fontId="3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37" fillId="0" borderId="0" xfId="0" applyFont="1" applyAlignment="1" applyProtection="1">
      <alignment horizontal="center" vertical="center"/>
      <protection locked="0" hidden="1"/>
    </xf>
    <xf numFmtId="0" fontId="0" fillId="0" borderId="0" xfId="0" applyFill="1" applyProtection="1">
      <protection locked="0"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187" fontId="9" fillId="2" borderId="6" xfId="0" applyNumberFormat="1" applyFont="1" applyFill="1" applyBorder="1" applyAlignment="1" applyProtection="1">
      <alignment vertical="center"/>
      <protection locked="0"/>
    </xf>
    <xf numFmtId="43" fontId="9" fillId="3" borderId="0" xfId="1" applyFont="1" applyFill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horizontal="right" vertical="center"/>
      <protection locked="0" hidden="1"/>
    </xf>
    <xf numFmtId="0" fontId="9" fillId="0" borderId="14" xfId="0" applyFont="1" applyBorder="1" applyAlignment="1" applyProtection="1">
      <alignment horizontal="left"/>
      <protection locked="0" hidden="1"/>
    </xf>
    <xf numFmtId="14" fontId="9" fillId="4" borderId="15" xfId="0" applyNumberFormat="1" applyFont="1" applyFill="1" applyBorder="1" applyProtection="1">
      <protection locked="0" hidden="1"/>
    </xf>
    <xf numFmtId="187" fontId="9" fillId="2" borderId="15" xfId="0" applyNumberFormat="1" applyFont="1" applyFill="1" applyBorder="1" applyProtection="1">
      <protection locked="0"/>
    </xf>
    <xf numFmtId="188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20" xfId="0" applyFont="1" applyBorder="1" applyAlignment="1" applyProtection="1">
      <alignment horizontal="left"/>
      <protection locked="0" hidden="1"/>
    </xf>
    <xf numFmtId="188" fontId="9" fillId="2" borderId="17" xfId="0" applyNumberFormat="1" applyFont="1" applyFill="1" applyBorder="1" applyAlignment="1" applyProtection="1">
      <protection locked="0"/>
    </xf>
    <xf numFmtId="14" fontId="9" fillId="0" borderId="20" xfId="0" applyNumberFormat="1" applyFont="1" applyBorder="1" applyAlignment="1" applyProtection="1">
      <alignment horizontal="left"/>
      <protection locked="0" hidden="1"/>
    </xf>
    <xf numFmtId="0" fontId="9" fillId="0" borderId="21" xfId="0" applyFont="1" applyBorder="1" applyAlignment="1" applyProtection="1">
      <alignment horizontal="left"/>
      <protection locked="0" hidden="1"/>
    </xf>
    <xf numFmtId="187" fontId="9" fillId="2" borderId="23" xfId="0" applyNumberFormat="1" applyFont="1" applyFill="1" applyBorder="1" applyProtection="1">
      <protection locked="0"/>
    </xf>
    <xf numFmtId="0" fontId="9" fillId="0" borderId="26" xfId="0" applyFont="1" applyBorder="1" applyAlignment="1" applyProtection="1">
      <alignment horizontal="left"/>
      <protection locked="0" hidden="1"/>
    </xf>
    <xf numFmtId="188" fontId="9" fillId="2" borderId="29" xfId="0" applyNumberFormat="1" applyFont="1" applyFill="1" applyBorder="1" applyAlignment="1" applyProtection="1">
      <protection locked="0"/>
    </xf>
    <xf numFmtId="188" fontId="8" fillId="0" borderId="0" xfId="0" applyNumberFormat="1" applyFont="1" applyFill="1" applyBorder="1" applyAlignment="1" applyProtection="1">
      <protection locked="0" hidden="1"/>
    </xf>
    <xf numFmtId="0" fontId="8" fillId="0" borderId="31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0" fillId="0" borderId="0" xfId="0" applyFill="1" applyBorder="1" applyProtection="1">
      <protection locked="0" hidden="1"/>
    </xf>
    <xf numFmtId="0" fontId="0" fillId="0" borderId="0" xfId="0" applyBorder="1" applyProtection="1">
      <protection locked="0" hidden="1"/>
    </xf>
    <xf numFmtId="187" fontId="16" fillId="2" borderId="18" xfId="0" applyNumberFormat="1" applyFont="1" applyFill="1" applyBorder="1" applyProtection="1">
      <protection locked="0"/>
    </xf>
    <xf numFmtId="14" fontId="16" fillId="4" borderId="18" xfId="0" applyNumberFormat="1" applyFont="1" applyFill="1" applyBorder="1" applyProtection="1">
      <protection locked="0"/>
    </xf>
    <xf numFmtId="188" fontId="16" fillId="0" borderId="13" xfId="1" applyNumberFormat="1" applyFont="1" applyFill="1" applyBorder="1" applyAlignment="1" applyProtection="1">
      <alignment horizontal="center"/>
      <protection hidden="1"/>
    </xf>
    <xf numFmtId="0" fontId="16" fillId="2" borderId="18" xfId="0" applyFont="1" applyFill="1" applyBorder="1" applyProtection="1">
      <protection locked="0"/>
    </xf>
    <xf numFmtId="43" fontId="16" fillId="0" borderId="18" xfId="1" applyFont="1" applyBorder="1" applyProtection="1"/>
    <xf numFmtId="43" fontId="0" fillId="0" borderId="0" xfId="0" applyNumberFormat="1" applyBorder="1" applyProtection="1">
      <protection locked="0" hidden="1"/>
    </xf>
    <xf numFmtId="188" fontId="16" fillId="0" borderId="19" xfId="1" applyNumberFormat="1" applyFont="1" applyFill="1" applyBorder="1" applyAlignment="1" applyProtection="1">
      <alignment horizontal="center"/>
      <protection hidden="1"/>
    </xf>
    <xf numFmtId="14" fontId="16" fillId="4" borderId="23" xfId="0" applyNumberFormat="1" applyFont="1" applyFill="1" applyBorder="1" applyProtection="1">
      <protection locked="0"/>
    </xf>
    <xf numFmtId="14" fontId="16" fillId="4" borderId="27" xfId="0" applyNumberFormat="1" applyFont="1" applyFill="1" applyBorder="1" applyProtection="1">
      <protection locked="0"/>
    </xf>
    <xf numFmtId="188" fontId="16" fillId="0" borderId="24" xfId="1" applyNumberFormat="1" applyFont="1" applyFill="1" applyBorder="1" applyAlignment="1" applyProtection="1">
      <alignment horizontal="center"/>
      <protection hidden="1"/>
    </xf>
    <xf numFmtId="43" fontId="0" fillId="2" borderId="25" xfId="1" applyFont="1" applyFill="1" applyBorder="1" applyAlignment="1" applyProtection="1">
      <alignment horizontal="center"/>
      <protection locked="0"/>
    </xf>
    <xf numFmtId="188" fontId="11" fillId="0" borderId="8" xfId="1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locked="0" hidden="1"/>
    </xf>
    <xf numFmtId="0" fontId="20" fillId="0" borderId="28" xfId="0" applyFont="1" applyBorder="1" applyProtection="1">
      <protection hidden="1"/>
    </xf>
    <xf numFmtId="0" fontId="20" fillId="0" borderId="0" xfId="0" applyFont="1" applyBorder="1" applyProtection="1">
      <protection hidden="1"/>
    </xf>
    <xf numFmtId="43" fontId="12" fillId="2" borderId="6" xfId="1" applyFont="1" applyFill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31" xfId="0" applyFont="1" applyBorder="1" applyProtection="1">
      <protection hidden="1"/>
    </xf>
    <xf numFmtId="0" fontId="0" fillId="0" borderId="0" xfId="0" applyNumberFormat="1" applyProtection="1">
      <protection hidden="1"/>
    </xf>
    <xf numFmtId="0" fontId="25" fillId="0" borderId="0" xfId="0" applyFont="1" applyProtection="1">
      <protection hidden="1"/>
    </xf>
    <xf numFmtId="187" fontId="16" fillId="4" borderId="18" xfId="0" applyNumberFormat="1" applyFont="1" applyFill="1" applyBorder="1" applyProtection="1">
      <protection hidden="1"/>
    </xf>
    <xf numFmtId="41" fontId="16" fillId="0" borderId="18" xfId="0" applyNumberFormat="1" applyFont="1" applyFill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187" fontId="16" fillId="4" borderId="18" xfId="0" applyNumberFormat="1" applyFont="1" applyFill="1" applyBorder="1" applyAlignment="1" applyProtection="1">
      <protection hidden="1"/>
    </xf>
    <xf numFmtId="14" fontId="16" fillId="4" borderId="18" xfId="0" applyNumberFormat="1" applyFont="1" applyFill="1" applyBorder="1" applyAlignment="1" applyProtection="1">
      <protection hidden="1"/>
    </xf>
    <xf numFmtId="0" fontId="31" fillId="0" borderId="0" xfId="0" applyFont="1" applyAlignment="1" applyProtection="1"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5" fillId="0" borderId="0" xfId="0" applyFont="1" applyProtection="1">
      <protection hidden="1"/>
    </xf>
    <xf numFmtId="43" fontId="11" fillId="0" borderId="35" xfId="1" applyFont="1" applyBorder="1" applyAlignment="1" applyProtection="1">
      <alignment horizontal="center" vertical="center" wrapText="1"/>
      <protection hidden="1"/>
    </xf>
    <xf numFmtId="43" fontId="11" fillId="0" borderId="35" xfId="1" applyFont="1" applyBorder="1" applyAlignment="1" applyProtection="1">
      <alignment horizontal="center" vertical="center"/>
      <protection hidden="1"/>
    </xf>
    <xf numFmtId="43" fontId="21" fillId="0" borderId="35" xfId="1" applyFont="1" applyBorder="1" applyAlignment="1" applyProtection="1">
      <alignment horizontal="center" vertical="center" wrapText="1"/>
      <protection hidden="1"/>
    </xf>
    <xf numFmtId="43" fontId="46" fillId="0" borderId="35" xfId="1" applyFont="1" applyBorder="1" applyAlignment="1" applyProtection="1">
      <alignment horizontal="center" vertical="center" wrapText="1"/>
      <protection hidden="1"/>
    </xf>
    <xf numFmtId="49" fontId="11" fillId="0" borderId="34" xfId="1" applyNumberFormat="1" applyFont="1" applyBorder="1" applyAlignment="1" applyProtection="1">
      <alignment horizontal="center" vertical="center" wrapText="1"/>
      <protection hidden="1"/>
    </xf>
    <xf numFmtId="49" fontId="11" fillId="0" borderId="34" xfId="1" applyNumberFormat="1" applyFont="1" applyBorder="1" applyAlignment="1" applyProtection="1">
      <alignment horizontal="center" vertical="center"/>
      <protection hidden="1"/>
    </xf>
    <xf numFmtId="0" fontId="16" fillId="0" borderId="36" xfId="0" applyFont="1" applyBorder="1" applyAlignment="1" applyProtection="1">
      <protection hidden="1"/>
    </xf>
    <xf numFmtId="43" fontId="16" fillId="2" borderId="6" xfId="1" applyFont="1" applyFill="1" applyBorder="1" applyAlignment="1" applyProtection="1">
      <alignment vertical="center"/>
      <protection hidden="1"/>
    </xf>
    <xf numFmtId="43" fontId="16" fillId="4" borderId="6" xfId="1" applyFont="1" applyFill="1" applyBorder="1" applyAlignment="1" applyProtection="1">
      <alignment vertical="center"/>
      <protection hidden="1"/>
    </xf>
    <xf numFmtId="43" fontId="16" fillId="0" borderId="6" xfId="1" applyFont="1" applyFill="1" applyBorder="1" applyAlignment="1" applyProtection="1">
      <alignment vertical="center"/>
      <protection hidden="1"/>
    </xf>
    <xf numFmtId="191" fontId="12" fillId="0" borderId="6" xfId="1" applyNumberFormat="1" applyFont="1" applyFill="1" applyBorder="1" applyAlignment="1" applyProtection="1">
      <alignment horizontal="center" vertical="center"/>
      <protection hidden="1"/>
    </xf>
    <xf numFmtId="191" fontId="47" fillId="0" borderId="34" xfId="1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87" fontId="16" fillId="2" borderId="6" xfId="0" applyNumberFormat="1" applyFont="1" applyFill="1" applyBorder="1" applyAlignment="1" applyProtection="1">
      <alignment horizontal="center"/>
      <protection locked="0"/>
    </xf>
    <xf numFmtId="43" fontId="16" fillId="0" borderId="6" xfId="1" applyFont="1" applyBorder="1" applyAlignment="1" applyProtection="1">
      <protection hidden="1"/>
    </xf>
    <xf numFmtId="43" fontId="16" fillId="0" borderId="6" xfId="0" applyNumberFormat="1" applyFont="1" applyBorder="1" applyAlignment="1" applyProtection="1">
      <protection hidden="1"/>
    </xf>
    <xf numFmtId="43" fontId="16" fillId="2" borderId="6" xfId="1" applyFont="1" applyFill="1" applyBorder="1" applyAlignment="1" applyProtection="1">
      <protection hidden="1"/>
    </xf>
    <xf numFmtId="191" fontId="12" fillId="2" borderId="6" xfId="1" applyNumberFormat="1" applyFont="1" applyFill="1" applyBorder="1" applyAlignment="1" applyProtection="1">
      <alignment horizontal="center"/>
      <protection hidden="1"/>
    </xf>
    <xf numFmtId="43" fontId="48" fillId="0" borderId="6" xfId="1" applyFont="1" applyBorder="1" applyProtection="1">
      <protection hidden="1"/>
    </xf>
    <xf numFmtId="43" fontId="0" fillId="0" borderId="0" xfId="1" applyFont="1" applyBorder="1" applyProtection="1">
      <protection hidden="1"/>
    </xf>
    <xf numFmtId="189" fontId="12" fillId="0" borderId="4" xfId="1" applyNumberFormat="1" applyFont="1" applyBorder="1" applyAlignment="1" applyProtection="1">
      <alignment horizontal="center"/>
      <protection hidden="1"/>
    </xf>
    <xf numFmtId="0" fontId="12" fillId="0" borderId="7" xfId="0" applyFont="1" applyBorder="1" applyProtection="1">
      <protection hidden="1"/>
    </xf>
    <xf numFmtId="189" fontId="12" fillId="0" borderId="5" xfId="1" applyNumberFormat="1" applyFont="1" applyBorder="1" applyAlignment="1" applyProtection="1">
      <alignment horizontal="center"/>
      <protection hidden="1"/>
    </xf>
    <xf numFmtId="0" fontId="49" fillId="0" borderId="35" xfId="0" applyFont="1" applyBorder="1" applyAlignment="1" applyProtection="1">
      <alignment horizontal="center"/>
      <protection hidden="1"/>
    </xf>
    <xf numFmtId="189" fontId="12" fillId="0" borderId="35" xfId="1" applyNumberFormat="1" applyFont="1" applyBorder="1" applyAlignment="1" applyProtection="1">
      <alignment horizontal="center"/>
      <protection hidden="1"/>
    </xf>
    <xf numFmtId="189" fontId="12" fillId="0" borderId="24" xfId="1" applyNumberFormat="1" applyFont="1" applyBorder="1" applyAlignment="1" applyProtection="1">
      <alignment horizontal="center"/>
      <protection hidden="1"/>
    </xf>
    <xf numFmtId="0" fontId="12" fillId="0" borderId="26" xfId="0" applyFont="1" applyBorder="1" applyProtection="1">
      <protection hidden="1"/>
    </xf>
    <xf numFmtId="189" fontId="12" fillId="0" borderId="25" xfId="1" applyNumberFormat="1" applyFont="1" applyBorder="1" applyAlignment="1" applyProtection="1">
      <alignment horizontal="center"/>
      <protection hidden="1"/>
    </xf>
    <xf numFmtId="0" fontId="49" fillId="0" borderId="27" xfId="0" applyFont="1" applyBorder="1" applyAlignment="1" applyProtection="1">
      <alignment horizontal="center"/>
      <protection hidden="1"/>
    </xf>
    <xf numFmtId="189" fontId="12" fillId="0" borderId="27" xfId="1" applyNumberFormat="1" applyFont="1" applyBorder="1" applyAlignment="1" applyProtection="1">
      <alignment horizontal="center"/>
      <protection hidden="1"/>
    </xf>
    <xf numFmtId="189" fontId="12" fillId="0" borderId="22" xfId="1" applyNumberFormat="1" applyFont="1" applyBorder="1" applyAlignment="1" applyProtection="1">
      <alignment horizontal="center"/>
      <protection hidden="1"/>
    </xf>
    <xf numFmtId="0" fontId="12" fillId="0" borderId="37" xfId="0" applyFont="1" applyBorder="1" applyProtection="1">
      <protection hidden="1"/>
    </xf>
    <xf numFmtId="189" fontId="12" fillId="0" borderId="21" xfId="1" applyNumberFormat="1" applyFont="1" applyBorder="1" applyAlignment="1" applyProtection="1">
      <alignment horizontal="center"/>
      <protection hidden="1"/>
    </xf>
    <xf numFmtId="0" fontId="49" fillId="0" borderId="23" xfId="0" applyFont="1" applyBorder="1" applyAlignment="1" applyProtection="1">
      <alignment horizontal="center"/>
      <protection hidden="1"/>
    </xf>
    <xf numFmtId="189" fontId="12" fillId="0" borderId="23" xfId="1" applyNumberFormat="1" applyFont="1" applyBorder="1" applyAlignment="1" applyProtection="1">
      <alignment horizontal="center"/>
      <protection hidden="1"/>
    </xf>
    <xf numFmtId="189" fontId="12" fillId="0" borderId="19" xfId="1" applyNumberFormat="1" applyFont="1" applyBorder="1" applyAlignment="1" applyProtection="1">
      <alignment horizontal="center"/>
      <protection hidden="1"/>
    </xf>
    <xf numFmtId="0" fontId="12" fillId="0" borderId="38" xfId="0" applyFont="1" applyBorder="1" applyProtection="1">
      <protection hidden="1"/>
    </xf>
    <xf numFmtId="189" fontId="12" fillId="0" borderId="20" xfId="1" applyNumberFormat="1" applyFont="1" applyBorder="1" applyAlignment="1" applyProtection="1">
      <alignment horizontal="center"/>
      <protection hidden="1"/>
    </xf>
    <xf numFmtId="0" fontId="49" fillId="0" borderId="18" xfId="0" applyFont="1" applyBorder="1" applyAlignment="1" applyProtection="1">
      <alignment horizontal="center"/>
      <protection hidden="1"/>
    </xf>
    <xf numFmtId="189" fontId="12" fillId="0" borderId="18" xfId="1" applyNumberFormat="1" applyFont="1" applyBorder="1" applyAlignment="1" applyProtection="1">
      <alignment horizontal="center"/>
      <protection hidden="1"/>
    </xf>
    <xf numFmtId="0" fontId="48" fillId="0" borderId="0" xfId="0" applyFont="1" applyBorder="1" applyAlignment="1" applyProtection="1">
      <protection hidden="1"/>
    </xf>
    <xf numFmtId="0" fontId="50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16" fillId="0" borderId="5" xfId="0" applyFont="1" applyBorder="1" applyAlignment="1" applyProtection="1">
      <alignment vertical="top"/>
      <protection hidden="1"/>
    </xf>
    <xf numFmtId="189" fontId="12" fillId="0" borderId="10" xfId="1" applyNumberFormat="1" applyFont="1" applyBorder="1" applyAlignment="1" applyProtection="1">
      <alignment horizontal="center"/>
      <protection hidden="1"/>
    </xf>
    <xf numFmtId="0" fontId="12" fillId="0" borderId="11" xfId="0" applyFont="1" applyBorder="1" applyProtection="1">
      <protection hidden="1"/>
    </xf>
    <xf numFmtId="189" fontId="12" fillId="0" borderId="12" xfId="1" applyNumberFormat="1" applyFont="1" applyBorder="1" applyAlignment="1" applyProtection="1">
      <alignment horizontal="center"/>
      <protection hidden="1"/>
    </xf>
    <xf numFmtId="0" fontId="49" fillId="0" borderId="34" xfId="0" applyFont="1" applyBorder="1" applyAlignment="1" applyProtection="1">
      <alignment horizontal="center"/>
      <protection hidden="1"/>
    </xf>
    <xf numFmtId="189" fontId="12" fillId="0" borderId="34" xfId="1" applyNumberFormat="1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0" borderId="0" xfId="0" applyProtection="1">
      <protection locked="0"/>
    </xf>
    <xf numFmtId="0" fontId="48" fillId="0" borderId="0" xfId="0" applyFont="1" applyProtection="1">
      <protection hidden="1"/>
    </xf>
    <xf numFmtId="43" fontId="16" fillId="4" borderId="6" xfId="1" applyFont="1" applyFill="1" applyBorder="1" applyAlignment="1" applyProtection="1">
      <alignment vertical="center"/>
      <protection locked="0"/>
    </xf>
    <xf numFmtId="191" fontId="51" fillId="0" borderId="6" xfId="1" applyNumberFormat="1" applyFont="1" applyFill="1" applyBorder="1" applyAlignment="1" applyProtection="1">
      <alignment horizontal="center" vertical="center"/>
      <protection hidden="1"/>
    </xf>
    <xf numFmtId="43" fontId="16" fillId="0" borderId="6" xfId="0" applyNumberFormat="1" applyFont="1" applyBorder="1" applyProtection="1">
      <protection hidden="1"/>
    </xf>
    <xf numFmtId="43" fontId="16" fillId="2" borderId="6" xfId="1" applyFont="1" applyFill="1" applyBorder="1" applyAlignment="1" applyProtection="1">
      <protection locked="0"/>
    </xf>
    <xf numFmtId="191" fontId="12" fillId="2" borderId="6" xfId="1" applyNumberFormat="1" applyFont="1" applyFill="1" applyBorder="1" applyAlignment="1" applyProtection="1">
      <alignment horizontal="center"/>
      <protection locked="0"/>
    </xf>
    <xf numFmtId="43" fontId="0" fillId="0" borderId="0" xfId="1" applyFont="1" applyBorder="1" applyProtection="1">
      <protection locked="0"/>
    </xf>
    <xf numFmtId="43" fontId="0" fillId="0" borderId="0" xfId="1" applyFont="1" applyBorder="1" applyProtection="1">
      <protection locked="0" hidden="1"/>
    </xf>
    <xf numFmtId="0" fontId="48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14" fontId="9" fillId="4" borderId="15" xfId="0" applyNumberFormat="1" applyFont="1" applyFill="1" applyBorder="1" applyProtection="1">
      <protection hidden="1"/>
    </xf>
    <xf numFmtId="43" fontId="0" fillId="2" borderId="14" xfId="1" applyFont="1" applyFill="1" applyBorder="1" applyAlignment="1" applyProtection="1">
      <alignment horizontal="center"/>
      <protection hidden="1"/>
    </xf>
    <xf numFmtId="43" fontId="0" fillId="2" borderId="20" xfId="1" applyFont="1" applyFill="1" applyBorder="1" applyAlignment="1" applyProtection="1">
      <alignment horizontal="center"/>
      <protection hidden="1"/>
    </xf>
    <xf numFmtId="43" fontId="0" fillId="2" borderId="21" xfId="1" applyFont="1" applyFill="1" applyBorder="1" applyAlignment="1" applyProtection="1">
      <alignment horizontal="center"/>
      <protection hidden="1"/>
    </xf>
    <xf numFmtId="43" fontId="0" fillId="2" borderId="25" xfId="1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53" fillId="0" borderId="0" xfId="0" applyFont="1" applyAlignment="1" applyProtection="1">
      <alignment horizontal="right"/>
      <protection hidden="1"/>
    </xf>
    <xf numFmtId="0" fontId="55" fillId="0" borderId="0" xfId="0" applyFont="1" applyBorder="1" applyAlignment="1" applyProtection="1">
      <alignment horizontal="center"/>
      <protection hidden="1"/>
    </xf>
    <xf numFmtId="0" fontId="56" fillId="0" borderId="0" xfId="0" applyFont="1" applyAlignment="1" applyProtection="1">
      <alignment horizontal="right"/>
      <protection hidden="1"/>
    </xf>
    <xf numFmtId="49" fontId="52" fillId="0" borderId="34" xfId="1" applyNumberFormat="1" applyFont="1" applyBorder="1" applyAlignment="1" applyProtection="1">
      <alignment horizontal="center" vertical="center"/>
      <protection hidden="1"/>
    </xf>
    <xf numFmtId="43" fontId="51" fillId="0" borderId="35" xfId="1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16" fillId="0" borderId="11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43" fontId="21" fillId="0" borderId="11" xfId="1" applyFont="1" applyBorder="1" applyAlignment="1" applyProtection="1">
      <protection hidden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43" fontId="13" fillId="0" borderId="6" xfId="0" applyNumberFormat="1" applyFont="1" applyBorder="1" applyAlignment="1">
      <alignment horizontal="center" vertical="center" wrapText="1"/>
    </xf>
    <xf numFmtId="188" fontId="8" fillId="0" borderId="9" xfId="0" applyNumberFormat="1" applyFont="1" applyFill="1" applyBorder="1" applyAlignment="1" applyProtection="1">
      <protection hidden="1"/>
    </xf>
    <xf numFmtId="43" fontId="11" fillId="0" borderId="6" xfId="1" applyFont="1" applyFill="1" applyBorder="1" applyAlignment="1" applyProtection="1">
      <alignment horizontal="center" vertical="center"/>
      <protection hidden="1"/>
    </xf>
    <xf numFmtId="191" fontId="11" fillId="0" borderId="6" xfId="1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188" fontId="11" fillId="0" borderId="8" xfId="1" applyNumberFormat="1" applyFont="1" applyBorder="1" applyAlignment="1" applyProtection="1">
      <alignment horizontal="center"/>
      <protection hidden="1"/>
    </xf>
    <xf numFmtId="188" fontId="8" fillId="5" borderId="8" xfId="0" applyNumberFormat="1" applyFont="1" applyFill="1" applyBorder="1" applyAlignment="1" applyProtection="1">
      <alignment horizontal="center"/>
      <protection hidden="1"/>
    </xf>
    <xf numFmtId="188" fontId="8" fillId="5" borderId="9" xfId="0" applyNumberFormat="1" applyFont="1" applyFill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43" fontId="0" fillId="2" borderId="21" xfId="1" applyFont="1" applyFill="1" applyBorder="1" applyAlignment="1" applyProtection="1">
      <alignment horizontal="center"/>
      <protection locked="0"/>
    </xf>
    <xf numFmtId="43" fontId="0" fillId="2" borderId="20" xfId="1" applyFont="1" applyFill="1" applyBorder="1" applyAlignment="1" applyProtection="1">
      <alignment horizontal="center"/>
      <protection locked="0"/>
    </xf>
    <xf numFmtId="43" fontId="0" fillId="2" borderId="14" xfId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188" fontId="11" fillId="0" borderId="8" xfId="1" applyNumberFormat="1" applyFont="1" applyBorder="1" applyAlignment="1" applyProtection="1">
      <alignment horizontal="center"/>
      <protection hidden="1"/>
    </xf>
    <xf numFmtId="188" fontId="8" fillId="5" borderId="8" xfId="0" applyNumberFormat="1" applyFont="1" applyFill="1" applyBorder="1" applyAlignment="1" applyProtection="1">
      <alignment horizontal="center"/>
      <protection hidden="1"/>
    </xf>
    <xf numFmtId="188" fontId="8" fillId="5" borderId="9" xfId="0" applyNumberFormat="1" applyFont="1" applyFill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43" fontId="0" fillId="2" borderId="21" xfId="1" applyFont="1" applyFill="1" applyBorder="1" applyAlignment="1" applyProtection="1">
      <alignment horizontal="center"/>
      <protection locked="0"/>
    </xf>
    <xf numFmtId="43" fontId="0" fillId="2" borderId="20" xfId="1" applyFont="1" applyFill="1" applyBorder="1" applyAlignment="1" applyProtection="1">
      <alignment horizontal="center"/>
      <protection locked="0"/>
    </xf>
    <xf numFmtId="43" fontId="0" fillId="2" borderId="14" xfId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hidden="1"/>
    </xf>
    <xf numFmtId="188" fontId="8" fillId="0" borderId="0" xfId="0" applyNumberFormat="1" applyFont="1" applyBorder="1" applyAlignment="1" applyProtection="1">
      <protection hidden="1"/>
    </xf>
    <xf numFmtId="0" fontId="8" fillId="0" borderId="39" xfId="0" applyFont="1" applyBorder="1" applyAlignment="1" applyProtection="1">
      <alignment horizontal="center"/>
      <protection hidden="1"/>
    </xf>
    <xf numFmtId="43" fontId="8" fillId="0" borderId="40" xfId="1" applyFont="1" applyFill="1" applyBorder="1" applyAlignment="1" applyProtection="1">
      <alignment horizontal="center"/>
      <protection hidden="1"/>
    </xf>
    <xf numFmtId="189" fontId="8" fillId="0" borderId="0" xfId="0" applyNumberFormat="1" applyFont="1" applyFill="1" applyBorder="1" applyAlignment="1" applyProtection="1">
      <protection hidden="1"/>
    </xf>
    <xf numFmtId="0" fontId="14" fillId="0" borderId="0" xfId="0" applyFont="1" applyFill="1" applyProtection="1">
      <protection hidden="1"/>
    </xf>
    <xf numFmtId="189" fontId="8" fillId="0" borderId="6" xfId="0" applyNumberFormat="1" applyFont="1" applyFill="1" applyBorder="1" applyAlignment="1" applyProtection="1">
      <protection hidden="1"/>
    </xf>
    <xf numFmtId="188" fontId="8" fillId="0" borderId="6" xfId="0" applyNumberFormat="1" applyFont="1" applyFill="1" applyBorder="1" applyAlignment="1" applyProtection="1">
      <protection hidden="1"/>
    </xf>
    <xf numFmtId="0" fontId="9" fillId="0" borderId="28" xfId="0" applyFont="1" applyBorder="1" applyProtection="1">
      <protection hidden="1"/>
    </xf>
    <xf numFmtId="188" fontId="8" fillId="0" borderId="28" xfId="0" applyNumberFormat="1" applyFont="1" applyFill="1" applyBorder="1" applyAlignment="1" applyProtection="1">
      <alignment horizontal="center"/>
      <protection hidden="1"/>
    </xf>
    <xf numFmtId="188" fontId="8" fillId="0" borderId="29" xfId="0" applyNumberFormat="1" applyFont="1" applyFill="1" applyBorder="1" applyAlignment="1" applyProtection="1">
      <alignment horizontal="center"/>
      <protection hidden="1"/>
    </xf>
    <xf numFmtId="41" fontId="21" fillId="0" borderId="0" xfId="0" applyNumberFormat="1" applyFont="1" applyBorder="1" applyAlignment="1" applyProtection="1">
      <alignment horizontal="center"/>
      <protection locked="0" hidden="1"/>
    </xf>
    <xf numFmtId="0" fontId="8" fillId="0" borderId="4" xfId="0" applyFont="1" applyBorder="1" applyAlignment="1" applyProtection="1">
      <alignment horizontal="center"/>
      <protection hidden="1"/>
    </xf>
    <xf numFmtId="188" fontId="9" fillId="2" borderId="6" xfId="0" applyNumberFormat="1" applyFont="1" applyFill="1" applyBorder="1" applyAlignment="1" applyProtection="1">
      <protection locked="0"/>
    </xf>
    <xf numFmtId="189" fontId="9" fillId="2" borderId="6" xfId="0" applyNumberFormat="1" applyFont="1" applyFill="1" applyBorder="1" applyAlignment="1" applyProtection="1">
      <protection locked="0"/>
    </xf>
    <xf numFmtId="0" fontId="8" fillId="0" borderId="9" xfId="0" applyFont="1" applyBorder="1" applyAlignment="1" applyProtection="1">
      <alignment horizontal="right"/>
      <protection hidden="1"/>
    </xf>
    <xf numFmtId="188" fontId="9" fillId="2" borderId="6" xfId="0" applyNumberFormat="1" applyFont="1" applyFill="1" applyBorder="1" applyAlignment="1" applyProtection="1">
      <protection hidden="1"/>
    </xf>
    <xf numFmtId="189" fontId="9" fillId="2" borderId="6" xfId="0" applyNumberFormat="1" applyFont="1" applyFill="1" applyBorder="1" applyAlignment="1" applyProtection="1">
      <protection hidden="1"/>
    </xf>
    <xf numFmtId="0" fontId="12" fillId="0" borderId="9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12" fillId="0" borderId="7" xfId="0" applyFont="1" applyBorder="1" applyAlignment="1" applyProtection="1">
      <protection hidden="1"/>
    </xf>
    <xf numFmtId="0" fontId="12" fillId="0" borderId="5" xfId="0" applyFont="1" applyBorder="1" applyProtection="1">
      <protection hidden="1"/>
    </xf>
    <xf numFmtId="0" fontId="0" fillId="0" borderId="8" xfId="0" applyBorder="1" applyAlignment="1" applyProtection="1">
      <protection locked="0" hidden="1"/>
    </xf>
    <xf numFmtId="0" fontId="0" fillId="0" borderId="31" xfId="0" applyBorder="1" applyAlignment="1" applyProtection="1">
      <protection locked="0" hidden="1"/>
    </xf>
    <xf numFmtId="44" fontId="0" fillId="0" borderId="0" xfId="0" applyNumberFormat="1" applyProtection="1">
      <protection hidden="1"/>
    </xf>
    <xf numFmtId="187" fontId="12" fillId="6" borderId="15" xfId="0" applyNumberFormat="1" applyFont="1" applyFill="1" applyBorder="1" applyAlignment="1" applyProtection="1">
      <alignment horizontal="center"/>
      <protection locked="0"/>
    </xf>
    <xf numFmtId="43" fontId="12" fillId="6" borderId="15" xfId="1" applyFont="1" applyFill="1" applyBorder="1" applyProtection="1">
      <protection locked="0"/>
    </xf>
    <xf numFmtId="0" fontId="12" fillId="0" borderId="35" xfId="0" applyFont="1" applyBorder="1" applyAlignment="1">
      <alignment horizontal="center"/>
    </xf>
    <xf numFmtId="43" fontId="12" fillId="0" borderId="35" xfId="1" applyFont="1" applyBorder="1" applyProtection="1">
      <protection hidden="1"/>
    </xf>
    <xf numFmtId="0" fontId="12" fillId="0" borderId="35" xfId="0" applyFont="1" applyFill="1" applyBorder="1" applyAlignment="1" applyProtection="1">
      <alignment horizontal="center"/>
      <protection hidden="1"/>
    </xf>
    <xf numFmtId="187" fontId="12" fillId="6" borderId="17" xfId="0" applyNumberFormat="1" applyFont="1" applyFill="1" applyBorder="1" applyAlignment="1" applyProtection="1">
      <alignment horizontal="center"/>
      <protection locked="0"/>
    </xf>
    <xf numFmtId="43" fontId="12" fillId="6" borderId="17" xfId="1" applyFont="1" applyFill="1" applyBorder="1" applyProtection="1">
      <protection locked="0"/>
    </xf>
    <xf numFmtId="0" fontId="12" fillId="0" borderId="18" xfId="0" applyFont="1" applyBorder="1" applyAlignment="1">
      <alignment horizontal="center"/>
    </xf>
    <xf numFmtId="43" fontId="12" fillId="0" borderId="18" xfId="1" applyFont="1" applyBorder="1" applyProtection="1">
      <protection hidden="1"/>
    </xf>
    <xf numFmtId="0" fontId="12" fillId="0" borderId="18" xfId="0" applyFont="1" applyFill="1" applyBorder="1" applyAlignment="1" applyProtection="1">
      <alignment horizontal="center"/>
      <protection hidden="1"/>
    </xf>
    <xf numFmtId="187" fontId="12" fillId="6" borderId="18" xfId="0" applyNumberFormat="1" applyFont="1" applyFill="1" applyBorder="1" applyAlignment="1" applyProtection="1">
      <alignment horizontal="center"/>
      <protection locked="0"/>
    </xf>
    <xf numFmtId="43" fontId="12" fillId="0" borderId="18" xfId="0" applyNumberFormat="1" applyFont="1" applyBorder="1" applyProtection="1">
      <protection hidden="1"/>
    </xf>
    <xf numFmtId="187" fontId="12" fillId="0" borderId="18" xfId="0" applyNumberFormat="1" applyFont="1" applyBorder="1" applyAlignment="1" applyProtection="1">
      <alignment horizontal="center"/>
      <protection hidden="1"/>
    </xf>
    <xf numFmtId="43" fontId="52" fillId="0" borderId="18" xfId="0" applyNumberFormat="1" applyFont="1" applyBorder="1" applyAlignment="1" applyProtection="1">
      <protection hidden="1"/>
    </xf>
    <xf numFmtId="0" fontId="12" fillId="0" borderId="18" xfId="0" applyFont="1" applyBorder="1" applyProtection="1">
      <protection hidden="1"/>
    </xf>
    <xf numFmtId="0" fontId="12" fillId="0" borderId="19" xfId="0" applyFont="1" applyBorder="1" applyProtection="1">
      <protection hidden="1"/>
    </xf>
    <xf numFmtId="0" fontId="12" fillId="0" borderId="20" xfId="0" applyFont="1" applyBorder="1" applyProtection="1">
      <protection hidden="1"/>
    </xf>
    <xf numFmtId="43" fontId="52" fillId="0" borderId="18" xfId="1" applyFont="1" applyBorder="1" applyProtection="1">
      <protection hidden="1"/>
    </xf>
    <xf numFmtId="0" fontId="52" fillId="0" borderId="18" xfId="0" applyFont="1" applyBorder="1" applyAlignment="1" applyProtection="1">
      <protection hidden="1"/>
    </xf>
    <xf numFmtId="43" fontId="52" fillId="6" borderId="18" xfId="1" applyFont="1" applyFill="1" applyBorder="1" applyProtection="1">
      <protection locked="0"/>
    </xf>
    <xf numFmtId="0" fontId="52" fillId="0" borderId="27" xfId="0" applyFont="1" applyBorder="1" applyAlignment="1" applyProtection="1">
      <protection hidden="1"/>
    </xf>
    <xf numFmtId="0" fontId="12" fillId="0" borderId="27" xfId="0" applyFont="1" applyBorder="1" applyProtection="1">
      <protection hidden="1"/>
    </xf>
    <xf numFmtId="0" fontId="12" fillId="0" borderId="24" xfId="0" applyFont="1" applyBorder="1" applyProtection="1">
      <protection hidden="1"/>
    </xf>
    <xf numFmtId="0" fontId="12" fillId="0" borderId="25" xfId="0" applyFont="1" applyBorder="1" applyProtection="1">
      <protection hidden="1"/>
    </xf>
    <xf numFmtId="43" fontId="52" fillId="0" borderId="27" xfId="1" applyFont="1" applyBorder="1" applyProtection="1">
      <protection hidden="1"/>
    </xf>
    <xf numFmtId="0" fontId="0" fillId="0" borderId="7" xfId="0" applyBorder="1" applyProtection="1">
      <protection locked="0"/>
    </xf>
    <xf numFmtId="0" fontId="10" fillId="0" borderId="8" xfId="0" applyFont="1" applyBorder="1" applyAlignment="1" applyProtection="1">
      <protection hidden="1"/>
    </xf>
    <xf numFmtId="0" fontId="10" fillId="0" borderId="31" xfId="0" applyFont="1" applyBorder="1" applyAlignment="1" applyProtection="1">
      <protection hidden="1"/>
    </xf>
    <xf numFmtId="0" fontId="10" fillId="0" borderId="9" xfId="0" applyFont="1" applyBorder="1" applyAlignment="1" applyProtection="1">
      <protection hidden="1"/>
    </xf>
    <xf numFmtId="188" fontId="9" fillId="2" borderId="6" xfId="0" applyNumberFormat="1" applyFont="1" applyFill="1" applyBorder="1" applyAlignment="1" applyProtection="1">
      <alignment horizontal="center"/>
      <protection hidden="1"/>
    </xf>
    <xf numFmtId="43" fontId="23" fillId="4" borderId="19" xfId="1" applyFont="1" applyFill="1" applyBorder="1" applyAlignment="1" applyProtection="1">
      <alignment horizontal="center"/>
      <protection hidden="1"/>
    </xf>
    <xf numFmtId="43" fontId="23" fillId="4" borderId="20" xfId="1" applyFont="1" applyFill="1" applyBorder="1" applyAlignment="1" applyProtection="1">
      <alignment horizontal="center"/>
      <protection hidden="1"/>
    </xf>
    <xf numFmtId="0" fontId="16" fillId="0" borderId="8" xfId="0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29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/>
      <protection hidden="1"/>
    </xf>
    <xf numFmtId="0" fontId="12" fillId="0" borderId="31" xfId="0" applyFont="1" applyBorder="1" applyAlignment="1" applyProtection="1">
      <alignment horizontal="left"/>
      <protection hidden="1"/>
    </xf>
    <xf numFmtId="0" fontId="12" fillId="0" borderId="9" xfId="0" applyFont="1" applyBorder="1" applyAlignment="1" applyProtection="1">
      <alignment horizontal="left"/>
      <protection hidden="1"/>
    </xf>
    <xf numFmtId="43" fontId="16" fillId="2" borderId="19" xfId="1" applyFont="1" applyFill="1" applyBorder="1" applyAlignment="1" applyProtection="1">
      <alignment horizontal="center"/>
      <protection hidden="1"/>
    </xf>
    <xf numFmtId="43" fontId="16" fillId="2" borderId="20" xfId="1" applyFont="1" applyFill="1" applyBorder="1" applyAlignment="1" applyProtection="1">
      <alignment horizontal="center"/>
      <protection hidden="1"/>
    </xf>
    <xf numFmtId="43" fontId="16" fillId="2" borderId="24" xfId="1" applyFont="1" applyFill="1" applyBorder="1" applyAlignment="1" applyProtection="1">
      <alignment horizontal="center"/>
      <protection hidden="1"/>
    </xf>
    <xf numFmtId="43" fontId="16" fillId="2" borderId="25" xfId="1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10" fillId="0" borderId="24" xfId="0" applyFont="1" applyBorder="1" applyAlignment="1" applyProtection="1">
      <alignment horizontal="left"/>
      <protection hidden="1"/>
    </xf>
    <xf numFmtId="0" fontId="10" fillId="0" borderId="25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left"/>
      <protection hidden="1"/>
    </xf>
    <xf numFmtId="0" fontId="10" fillId="0" borderId="14" xfId="0" applyFont="1" applyBorder="1" applyAlignment="1" applyProtection="1">
      <alignment horizontal="left"/>
      <protection hidden="1"/>
    </xf>
    <xf numFmtId="0" fontId="10" fillId="0" borderId="19" xfId="0" applyFont="1" applyBorder="1" applyAlignment="1" applyProtection="1">
      <alignment horizontal="left"/>
      <protection hidden="1"/>
    </xf>
    <xf numFmtId="0" fontId="10" fillId="0" borderId="20" xfId="0" applyFont="1" applyBorder="1" applyAlignment="1" applyProtection="1">
      <alignment horizontal="left"/>
      <protection hidden="1"/>
    </xf>
    <xf numFmtId="0" fontId="10" fillId="0" borderId="22" xfId="0" applyFont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left"/>
      <protection hidden="1"/>
    </xf>
    <xf numFmtId="0" fontId="16" fillId="0" borderId="7" xfId="0" applyFont="1" applyBorder="1" applyAlignment="1" applyProtection="1"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5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4" xfId="0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2" fillId="0" borderId="35" xfId="0" applyFont="1" applyBorder="1" applyAlignment="1" applyProtection="1">
      <alignment horizontal="center" vertical="center" wrapText="1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43" fontId="16" fillId="4" borderId="19" xfId="1" applyFont="1" applyFill="1" applyBorder="1" applyAlignment="1" applyProtection="1">
      <alignment horizontal="center"/>
      <protection hidden="1"/>
    </xf>
    <xf numFmtId="43" fontId="16" fillId="4" borderId="20" xfId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3" fontId="0" fillId="2" borderId="22" xfId="1" applyFont="1" applyFill="1" applyBorder="1" applyAlignment="1" applyProtection="1">
      <alignment horizontal="center"/>
      <protection hidden="1"/>
    </xf>
    <xf numFmtId="43" fontId="0" fillId="2" borderId="21" xfId="1" applyFont="1" applyFill="1" applyBorder="1" applyAlignment="1" applyProtection="1">
      <alignment horizontal="center"/>
      <protection hidden="1"/>
    </xf>
    <xf numFmtId="43" fontId="0" fillId="2" borderId="19" xfId="1" applyFont="1" applyFill="1" applyBorder="1" applyAlignment="1" applyProtection="1">
      <alignment horizontal="center"/>
      <protection hidden="1"/>
    </xf>
    <xf numFmtId="43" fontId="0" fillId="2" borderId="20" xfId="1" applyFont="1" applyFill="1" applyBorder="1" applyAlignment="1" applyProtection="1">
      <alignment horizontal="center"/>
      <protection hidden="1"/>
    </xf>
    <xf numFmtId="188" fontId="8" fillId="0" borderId="8" xfId="0" applyNumberFormat="1" applyFont="1" applyFill="1" applyBorder="1" applyAlignment="1" applyProtection="1">
      <alignment horizontal="center"/>
      <protection hidden="1"/>
    </xf>
    <xf numFmtId="188" fontId="8" fillId="0" borderId="9" xfId="0" applyNumberFormat="1" applyFont="1" applyFill="1" applyBorder="1" applyAlignment="1" applyProtection="1">
      <alignment horizontal="center"/>
      <protection hidden="1"/>
    </xf>
    <xf numFmtId="188" fontId="11" fillId="0" borderId="8" xfId="1" applyNumberFormat="1" applyFont="1" applyBorder="1" applyAlignment="1" applyProtection="1">
      <alignment horizontal="center"/>
      <protection hidden="1"/>
    </xf>
    <xf numFmtId="188" fontId="11" fillId="0" borderId="9" xfId="1" applyNumberFormat="1" applyFont="1" applyBorder="1" applyAlignment="1" applyProtection="1">
      <alignment horizontal="center"/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2" borderId="14" xfId="1" applyFont="1" applyFill="1" applyBorder="1" applyAlignment="1" applyProtection="1">
      <alignment horizontal="center"/>
      <protection hidden="1"/>
    </xf>
    <xf numFmtId="188" fontId="8" fillId="5" borderId="8" xfId="0" applyNumberFormat="1" applyFont="1" applyFill="1" applyBorder="1" applyAlignment="1" applyProtection="1">
      <alignment horizontal="center"/>
      <protection hidden="1"/>
    </xf>
    <xf numFmtId="188" fontId="8" fillId="5" borderId="9" xfId="0" applyNumberFormat="1" applyFont="1" applyFill="1" applyBorder="1" applyAlignment="1" applyProtection="1">
      <alignment horizontal="center"/>
      <protection hidden="1"/>
    </xf>
    <xf numFmtId="188" fontId="11" fillId="5" borderId="8" xfId="1" applyNumberFormat="1" applyFont="1" applyFill="1" applyBorder="1" applyAlignment="1" applyProtection="1">
      <alignment horizontal="center"/>
      <protection hidden="1"/>
    </xf>
    <xf numFmtId="188" fontId="11" fillId="5" borderId="9" xfId="1" applyNumberFormat="1" applyFont="1" applyFill="1" applyBorder="1" applyAlignment="1" applyProtection="1">
      <alignment horizontal="center"/>
      <protection hidden="1"/>
    </xf>
    <xf numFmtId="188" fontId="9" fillId="0" borderId="22" xfId="0" applyNumberFormat="1" applyFont="1" applyFill="1" applyBorder="1" applyAlignment="1" applyProtection="1">
      <alignment horizontal="center"/>
      <protection hidden="1"/>
    </xf>
    <xf numFmtId="188" fontId="9" fillId="0" borderId="21" xfId="0" applyNumberFormat="1" applyFont="1" applyFill="1" applyBorder="1" applyAlignment="1" applyProtection="1">
      <alignment horizontal="center"/>
      <protection hidden="1"/>
    </xf>
    <xf numFmtId="188" fontId="9" fillId="0" borderId="22" xfId="0" applyNumberFormat="1" applyFont="1" applyBorder="1" applyAlignment="1" applyProtection="1">
      <alignment horizontal="center"/>
      <protection hidden="1"/>
    </xf>
    <xf numFmtId="188" fontId="9" fillId="0" borderId="21" xfId="0" applyNumberFormat="1" applyFont="1" applyBorder="1" applyAlignment="1" applyProtection="1">
      <alignment horizontal="center"/>
      <protection hidden="1"/>
    </xf>
    <xf numFmtId="188" fontId="9" fillId="2" borderId="24" xfId="0" applyNumberFormat="1" applyFont="1" applyFill="1" applyBorder="1" applyAlignment="1" applyProtection="1">
      <alignment horizontal="center"/>
      <protection hidden="1"/>
    </xf>
    <xf numFmtId="188" fontId="9" fillId="2" borderId="25" xfId="0" applyNumberFormat="1" applyFont="1" applyFill="1" applyBorder="1" applyAlignment="1" applyProtection="1">
      <alignment horizontal="center"/>
      <protection hidden="1"/>
    </xf>
    <xf numFmtId="188" fontId="9" fillId="0" borderId="19" xfId="0" applyNumberFormat="1" applyFont="1" applyFill="1" applyBorder="1" applyAlignment="1" applyProtection="1">
      <alignment horizontal="center"/>
      <protection hidden="1"/>
    </xf>
    <xf numFmtId="188" fontId="9" fillId="0" borderId="20" xfId="0" applyNumberFormat="1" applyFont="1" applyFill="1" applyBorder="1" applyAlignment="1" applyProtection="1">
      <alignment horizontal="center"/>
      <protection hidden="1"/>
    </xf>
    <xf numFmtId="188" fontId="9" fillId="2" borderId="19" xfId="0" applyNumberFormat="1" applyFont="1" applyFill="1" applyBorder="1" applyAlignment="1" applyProtection="1">
      <alignment horizontal="center"/>
      <protection hidden="1"/>
    </xf>
    <xf numFmtId="188" fontId="9" fillId="2" borderId="20" xfId="0" applyNumberFormat="1" applyFont="1" applyFill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188" fontId="9" fillId="0" borderId="13" xfId="0" applyNumberFormat="1" applyFont="1" applyFill="1" applyBorder="1" applyAlignment="1" applyProtection="1">
      <alignment horizontal="center"/>
      <protection hidden="1"/>
    </xf>
    <xf numFmtId="188" fontId="9" fillId="0" borderId="14" xfId="0" applyNumberFormat="1" applyFont="1" applyFill="1" applyBorder="1" applyAlignment="1" applyProtection="1">
      <alignment horizontal="center"/>
      <protection hidden="1"/>
    </xf>
    <xf numFmtId="188" fontId="9" fillId="0" borderId="13" xfId="0" applyNumberFormat="1" applyFont="1" applyBorder="1" applyAlignment="1" applyProtection="1">
      <alignment horizontal="center"/>
      <protection hidden="1"/>
    </xf>
    <xf numFmtId="188" fontId="9" fillId="0" borderId="14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 hidden="1"/>
    </xf>
    <xf numFmtId="43" fontId="16" fillId="2" borderId="19" xfId="1" applyFont="1" applyFill="1" applyBorder="1" applyAlignment="1" applyProtection="1">
      <alignment horizontal="center"/>
      <protection locked="0"/>
    </xf>
    <xf numFmtId="43" fontId="16" fillId="2" borderId="20" xfId="1" applyFont="1" applyFill="1" applyBorder="1" applyAlignment="1" applyProtection="1">
      <alignment horizontal="center"/>
      <protection locked="0"/>
    </xf>
    <xf numFmtId="43" fontId="0" fillId="2" borderId="22" xfId="1" applyFont="1" applyFill="1" applyBorder="1" applyAlignment="1" applyProtection="1">
      <alignment horizontal="center"/>
      <protection locked="0"/>
    </xf>
    <xf numFmtId="43" fontId="0" fillId="2" borderId="21" xfId="1" applyFont="1" applyFill="1" applyBorder="1" applyAlignment="1" applyProtection="1">
      <alignment horizontal="center"/>
      <protection locked="0"/>
    </xf>
    <xf numFmtId="43" fontId="16" fillId="2" borderId="24" xfId="1" applyFont="1" applyFill="1" applyBorder="1" applyAlignment="1" applyProtection="1">
      <alignment horizontal="center"/>
      <protection locked="0"/>
    </xf>
    <xf numFmtId="43" fontId="16" fillId="2" borderId="25" xfId="1" applyFont="1" applyFill="1" applyBorder="1" applyAlignment="1" applyProtection="1">
      <alignment horizontal="center"/>
      <protection locked="0"/>
    </xf>
    <xf numFmtId="43" fontId="0" fillId="2" borderId="19" xfId="1" applyFont="1" applyFill="1" applyBorder="1" applyAlignment="1" applyProtection="1">
      <alignment horizontal="center"/>
      <protection locked="0"/>
    </xf>
    <xf numFmtId="43" fontId="0" fillId="2" borderId="20" xfId="1" applyFont="1" applyFill="1" applyBorder="1" applyAlignment="1" applyProtection="1">
      <alignment horizontal="center"/>
      <protection locked="0"/>
    </xf>
    <xf numFmtId="43" fontId="0" fillId="2" borderId="13" xfId="1" applyFont="1" applyFill="1" applyBorder="1" applyAlignment="1" applyProtection="1">
      <alignment horizontal="center"/>
      <protection locked="0"/>
    </xf>
    <xf numFmtId="43" fontId="0" fillId="2" borderId="14" xfId="1" applyFont="1" applyFill="1" applyBorder="1" applyAlignment="1" applyProtection="1">
      <alignment horizontal="center"/>
      <protection locked="0"/>
    </xf>
    <xf numFmtId="188" fontId="9" fillId="2" borderId="24" xfId="0" applyNumberFormat="1" applyFont="1" applyFill="1" applyBorder="1" applyAlignment="1" applyProtection="1">
      <alignment horizontal="center"/>
      <protection locked="0"/>
    </xf>
    <xf numFmtId="188" fontId="9" fillId="2" borderId="25" xfId="0" applyNumberFormat="1" applyFont="1" applyFill="1" applyBorder="1" applyAlignment="1" applyProtection="1">
      <alignment horizontal="center"/>
      <protection locked="0"/>
    </xf>
    <xf numFmtId="188" fontId="9" fillId="2" borderId="19" xfId="0" applyNumberFormat="1" applyFont="1" applyFill="1" applyBorder="1" applyAlignment="1" applyProtection="1">
      <alignment horizontal="center"/>
      <protection locked="0"/>
    </xf>
    <xf numFmtId="188" fontId="9" fillId="2" borderId="20" xfId="0" applyNumberFormat="1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188" fontId="9" fillId="2" borderId="6" xfId="0" applyNumberFormat="1" applyFont="1" applyFill="1" applyBorder="1" applyAlignment="1" applyProtection="1">
      <alignment horizontal="center"/>
      <protection locked="0"/>
    </xf>
    <xf numFmtId="188" fontId="8" fillId="0" borderId="0" xfId="0" applyNumberFormat="1" applyFont="1" applyFill="1" applyBorder="1" applyAlignment="1" applyProtection="1">
      <alignment horizontal="center"/>
      <protection hidden="1"/>
    </xf>
    <xf numFmtId="188" fontId="8" fillId="0" borderId="6" xfId="0" applyNumberFormat="1" applyFont="1" applyFill="1" applyBorder="1" applyAlignment="1" applyProtection="1">
      <alignment horizontal="center"/>
      <protection hidden="1"/>
    </xf>
    <xf numFmtId="188" fontId="8" fillId="0" borderId="11" xfId="0" applyNumberFormat="1" applyFont="1" applyFill="1" applyBorder="1" applyAlignment="1" applyProtection="1">
      <alignment horizontal="center"/>
      <protection hidden="1"/>
    </xf>
    <xf numFmtId="188" fontId="8" fillId="0" borderId="4" xfId="0" applyNumberFormat="1" applyFont="1" applyFill="1" applyBorder="1" applyAlignment="1" applyProtection="1">
      <alignment horizontal="center"/>
      <protection hidden="1"/>
    </xf>
    <xf numFmtId="188" fontId="8" fillId="0" borderId="5" xfId="0" applyNumberFormat="1" applyFont="1" applyFill="1" applyBorder="1" applyAlignment="1" applyProtection="1">
      <alignment horizontal="center"/>
      <protection hidden="1"/>
    </xf>
    <xf numFmtId="188" fontId="8" fillId="0" borderId="7" xfId="0" applyNumberFormat="1" applyFont="1" applyFill="1" applyBorder="1" applyAlignment="1" applyProtection="1">
      <alignment horizontal="center"/>
      <protection hidden="1"/>
    </xf>
    <xf numFmtId="188" fontId="8" fillId="0" borderId="28" xfId="0" applyNumberFormat="1" applyFont="1" applyFill="1" applyBorder="1" applyAlignment="1" applyProtection="1">
      <alignment horizontal="center"/>
      <protection hidden="1"/>
    </xf>
    <xf numFmtId="188" fontId="8" fillId="0" borderId="29" xfId="0" applyNumberFormat="1" applyFont="1" applyFill="1" applyBorder="1" applyAlignment="1" applyProtection="1">
      <alignment horizontal="center"/>
      <protection hidden="1"/>
    </xf>
    <xf numFmtId="188" fontId="8" fillId="0" borderId="10" xfId="0" applyNumberFormat="1" applyFont="1" applyFill="1" applyBorder="1" applyAlignment="1" applyProtection="1">
      <alignment horizontal="center"/>
      <protection hidden="1"/>
    </xf>
    <xf numFmtId="188" fontId="8" fillId="0" borderId="12" xfId="0" applyNumberFormat="1" applyFont="1" applyFill="1" applyBorder="1" applyAlignment="1" applyProtection="1">
      <alignment horizontal="center"/>
      <protection hidden="1"/>
    </xf>
    <xf numFmtId="43" fontId="16" fillId="2" borderId="4" xfId="1" applyFont="1" applyFill="1" applyBorder="1" applyAlignment="1" applyProtection="1">
      <alignment horizontal="center" vertical="center"/>
      <protection locked="0"/>
    </xf>
    <xf numFmtId="43" fontId="16" fillId="2" borderId="5" xfId="1" applyFont="1" applyFill="1" applyBorder="1" applyAlignment="1" applyProtection="1">
      <alignment horizontal="center" vertical="center"/>
      <protection locked="0"/>
    </xf>
    <xf numFmtId="43" fontId="11" fillId="0" borderId="4" xfId="1" applyFont="1" applyBorder="1" applyAlignment="1" applyProtection="1">
      <alignment horizontal="center" vertical="center" wrapText="1"/>
      <protection hidden="1"/>
    </xf>
    <xf numFmtId="43" fontId="11" fillId="0" borderId="5" xfId="1" applyFont="1" applyBorder="1" applyAlignment="1" applyProtection="1">
      <alignment horizontal="center" vertical="center" wrapText="1"/>
      <protection hidden="1"/>
    </xf>
    <xf numFmtId="49" fontId="11" fillId="0" borderId="10" xfId="1" applyNumberFormat="1" applyFont="1" applyBorder="1" applyAlignment="1" applyProtection="1">
      <alignment horizontal="center" vertical="center" wrapText="1"/>
      <protection hidden="1"/>
    </xf>
    <xf numFmtId="49" fontId="11" fillId="0" borderId="12" xfId="1" applyNumberFormat="1" applyFont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57" fillId="0" borderId="9" xfId="0" applyFont="1" applyBorder="1" applyAlignment="1">
      <alignment horizontal="center"/>
    </xf>
  </cellXfs>
  <cellStyles count="7">
    <cellStyle name="Comma 2" xfId="2"/>
    <cellStyle name="Currency 2" xfId="3"/>
    <cellStyle name="Normal 2" xfId="4"/>
    <cellStyle name="เครื่องหมายจุลภาค" xfId="1" builtinId="3"/>
    <cellStyle name="ปกติ" xfId="0" builtinId="0"/>
    <cellStyle name="ปกติ 2" xfId="5"/>
    <cellStyle name="ปกติ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26035</xdr:colOff>
      <xdr:row>25</xdr:row>
      <xdr:rowOff>171892</xdr:rowOff>
    </xdr:from>
    <xdr:ext cx="2671244" cy="928203"/>
    <xdr:sp macro="" textlink="">
      <xdr:nvSpPr>
        <xdr:cNvPr id="2" name="สี่เหลี่ยมผืนผ้า 1"/>
        <xdr:cNvSpPr/>
      </xdr:nvSpPr>
      <xdr:spPr>
        <a:xfrm rot="19328329">
          <a:off x="5312410" y="5648767"/>
          <a:ext cx="2671244" cy="9282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5400" b="1" i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ตัวอย่าง</a:t>
          </a:r>
        </a:p>
      </xdr:txBody>
    </xdr:sp>
    <xdr:clientData/>
  </xdr:oneCellAnchor>
  <xdr:twoCellAnchor>
    <xdr:from>
      <xdr:col>1</xdr:col>
      <xdr:colOff>161924</xdr:colOff>
      <xdr:row>68</xdr:row>
      <xdr:rowOff>238126</xdr:rowOff>
    </xdr:from>
    <xdr:to>
      <xdr:col>3</xdr:col>
      <xdr:colOff>190500</xdr:colOff>
      <xdr:row>69</xdr:row>
      <xdr:rowOff>228600</xdr:rowOff>
    </xdr:to>
    <xdr:sp macro="" textlink="">
      <xdr:nvSpPr>
        <xdr:cNvPr id="3" name="วงรี 2"/>
        <xdr:cNvSpPr/>
      </xdr:nvSpPr>
      <xdr:spPr>
        <a:xfrm>
          <a:off x="1514474" y="16992601"/>
          <a:ext cx="1524001" cy="266699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200024</xdr:colOff>
      <xdr:row>69</xdr:row>
      <xdr:rowOff>276224</xdr:rowOff>
    </xdr:from>
    <xdr:to>
      <xdr:col>3</xdr:col>
      <xdr:colOff>228600</xdr:colOff>
      <xdr:row>70</xdr:row>
      <xdr:rowOff>257174</xdr:rowOff>
    </xdr:to>
    <xdr:sp macro="" textlink="">
      <xdr:nvSpPr>
        <xdr:cNvPr id="4" name="วงรี 3"/>
        <xdr:cNvSpPr/>
      </xdr:nvSpPr>
      <xdr:spPr>
        <a:xfrm>
          <a:off x="1552574" y="17306924"/>
          <a:ext cx="1524001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85725</xdr:colOff>
      <xdr:row>68</xdr:row>
      <xdr:rowOff>228601</xdr:rowOff>
    </xdr:from>
    <xdr:to>
      <xdr:col>6</xdr:col>
      <xdr:colOff>361951</xdr:colOff>
      <xdr:row>69</xdr:row>
      <xdr:rowOff>219075</xdr:rowOff>
    </xdr:to>
    <xdr:sp macro="" textlink="">
      <xdr:nvSpPr>
        <xdr:cNvPr id="5" name="วงรี 4"/>
        <xdr:cNvSpPr/>
      </xdr:nvSpPr>
      <xdr:spPr>
        <a:xfrm>
          <a:off x="2933700" y="16983076"/>
          <a:ext cx="1524001" cy="266699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104775</xdr:colOff>
      <xdr:row>70</xdr:row>
      <xdr:rowOff>9526</xdr:rowOff>
    </xdr:from>
    <xdr:to>
      <xdr:col>6</xdr:col>
      <xdr:colOff>381001</xdr:colOff>
      <xdr:row>70</xdr:row>
      <xdr:rowOff>247650</xdr:rowOff>
    </xdr:to>
    <xdr:sp macro="" textlink="">
      <xdr:nvSpPr>
        <xdr:cNvPr id="6" name="วงรี 5"/>
        <xdr:cNvSpPr/>
      </xdr:nvSpPr>
      <xdr:spPr>
        <a:xfrm>
          <a:off x="2952750" y="17316451"/>
          <a:ext cx="1524001" cy="23812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495301</xdr:colOff>
      <xdr:row>69</xdr:row>
      <xdr:rowOff>123825</xdr:rowOff>
    </xdr:from>
    <xdr:to>
      <xdr:col>7</xdr:col>
      <xdr:colOff>161926</xdr:colOff>
      <xdr:row>69</xdr:row>
      <xdr:rowOff>125413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4591051" y="17154525"/>
          <a:ext cx="857250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476251</xdr:colOff>
      <xdr:row>70</xdr:row>
      <xdr:rowOff>123825</xdr:rowOff>
    </xdr:from>
    <xdr:to>
      <xdr:col>7</xdr:col>
      <xdr:colOff>180976</xdr:colOff>
      <xdr:row>70</xdr:row>
      <xdr:rowOff>123827</xdr:rowOff>
    </xdr:to>
    <xdr:cxnSp macro="">
      <xdr:nvCxnSpPr>
        <xdr:cNvPr id="8" name="ลูกศรเชื่อมต่อแบบตรง 7"/>
        <xdr:cNvCxnSpPr/>
      </xdr:nvCxnSpPr>
      <xdr:spPr>
        <a:xfrm rot="10800000">
          <a:off x="4572001" y="17430750"/>
          <a:ext cx="895350" cy="2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76</xdr:row>
      <xdr:rowOff>228601</xdr:rowOff>
    </xdr:from>
    <xdr:to>
      <xdr:col>1</xdr:col>
      <xdr:colOff>295276</xdr:colOff>
      <xdr:row>77</xdr:row>
      <xdr:rowOff>219076</xdr:rowOff>
    </xdr:to>
    <xdr:sp macro="" textlink="">
      <xdr:nvSpPr>
        <xdr:cNvPr id="9" name="วงรี 8"/>
        <xdr:cNvSpPr/>
      </xdr:nvSpPr>
      <xdr:spPr>
        <a:xfrm>
          <a:off x="180975" y="19250026"/>
          <a:ext cx="1466851" cy="2476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161925</xdr:colOff>
      <xdr:row>86</xdr:row>
      <xdr:rowOff>228600</xdr:rowOff>
    </xdr:from>
    <xdr:to>
      <xdr:col>3</xdr:col>
      <xdr:colOff>190501</xdr:colOff>
      <xdr:row>87</xdr:row>
      <xdr:rowOff>228600</xdr:rowOff>
    </xdr:to>
    <xdr:sp macro="" textlink="">
      <xdr:nvSpPr>
        <xdr:cNvPr id="10" name="วงรี 9"/>
        <xdr:cNvSpPr/>
      </xdr:nvSpPr>
      <xdr:spPr>
        <a:xfrm>
          <a:off x="1514475" y="21650325"/>
          <a:ext cx="1524001" cy="2381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190500</xdr:colOff>
      <xdr:row>93</xdr:row>
      <xdr:rowOff>9526</xdr:rowOff>
    </xdr:from>
    <xdr:to>
      <xdr:col>1</xdr:col>
      <xdr:colOff>304801</xdr:colOff>
      <xdr:row>93</xdr:row>
      <xdr:rowOff>247651</xdr:rowOff>
    </xdr:to>
    <xdr:sp macro="" textlink="">
      <xdr:nvSpPr>
        <xdr:cNvPr id="11" name="วงรี 10"/>
        <xdr:cNvSpPr/>
      </xdr:nvSpPr>
      <xdr:spPr>
        <a:xfrm>
          <a:off x="190500" y="23412451"/>
          <a:ext cx="1466851" cy="2381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152400</xdr:colOff>
      <xdr:row>102</xdr:row>
      <xdr:rowOff>238125</xdr:rowOff>
    </xdr:from>
    <xdr:to>
      <xdr:col>3</xdr:col>
      <xdr:colOff>180976</xdr:colOff>
      <xdr:row>103</xdr:row>
      <xdr:rowOff>238125</xdr:rowOff>
    </xdr:to>
    <xdr:sp macro="" textlink="">
      <xdr:nvSpPr>
        <xdr:cNvPr id="12" name="วงรี 11"/>
        <xdr:cNvSpPr/>
      </xdr:nvSpPr>
      <xdr:spPr>
        <a:xfrm>
          <a:off x="1504950" y="25955625"/>
          <a:ext cx="1524001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6</xdr:row>
      <xdr:rowOff>247649</xdr:rowOff>
    </xdr:from>
    <xdr:to>
      <xdr:col>7</xdr:col>
      <xdr:colOff>76200</xdr:colOff>
      <xdr:row>8</xdr:row>
      <xdr:rowOff>47624</xdr:rowOff>
    </xdr:to>
    <xdr:sp macro="" textlink="">
      <xdr:nvSpPr>
        <xdr:cNvPr id="13" name="วงรี 12"/>
        <xdr:cNvSpPr/>
      </xdr:nvSpPr>
      <xdr:spPr>
        <a:xfrm>
          <a:off x="4095750" y="1895474"/>
          <a:ext cx="1266825" cy="3143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7</xdr:col>
      <xdr:colOff>95250</xdr:colOff>
      <xdr:row>6</xdr:row>
      <xdr:rowOff>9525</xdr:rowOff>
    </xdr:to>
    <xdr:sp macro="" textlink="">
      <xdr:nvSpPr>
        <xdr:cNvPr id="14" name="วงรี 13"/>
        <xdr:cNvSpPr/>
      </xdr:nvSpPr>
      <xdr:spPr>
        <a:xfrm>
          <a:off x="4095750" y="1362075"/>
          <a:ext cx="1285875" cy="2952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0</xdr:col>
      <xdr:colOff>876299</xdr:colOff>
      <xdr:row>142</xdr:row>
      <xdr:rowOff>38099</xdr:rowOff>
    </xdr:from>
    <xdr:to>
      <xdr:col>8</xdr:col>
      <xdr:colOff>76200</xdr:colOff>
      <xdr:row>155</xdr:row>
      <xdr:rowOff>114299</xdr:rowOff>
    </xdr:to>
    <xdr:pic>
      <xdr:nvPicPr>
        <xdr:cNvPr id="15" name="รูปภาพ 1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299" y="36699824"/>
          <a:ext cx="4686301" cy="3438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981075</xdr:colOff>
      <xdr:row>145</xdr:row>
      <xdr:rowOff>171450</xdr:rowOff>
    </xdr:from>
    <xdr:to>
      <xdr:col>1</xdr:col>
      <xdr:colOff>704850</xdr:colOff>
      <xdr:row>146</xdr:row>
      <xdr:rowOff>180974</xdr:rowOff>
    </xdr:to>
    <xdr:sp macro="" textlink="">
      <xdr:nvSpPr>
        <xdr:cNvPr id="16" name="วงรี 15"/>
        <xdr:cNvSpPr/>
      </xdr:nvSpPr>
      <xdr:spPr>
        <a:xfrm>
          <a:off x="981075" y="37623750"/>
          <a:ext cx="1076325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1228724</xdr:colOff>
      <xdr:row>154</xdr:row>
      <xdr:rowOff>47625</xdr:rowOff>
    </xdr:from>
    <xdr:to>
      <xdr:col>3</xdr:col>
      <xdr:colOff>895350</xdr:colOff>
      <xdr:row>155</xdr:row>
      <xdr:rowOff>85725</xdr:rowOff>
    </xdr:to>
    <xdr:sp macro="" textlink="">
      <xdr:nvSpPr>
        <xdr:cNvPr id="17" name="วงรี 16"/>
        <xdr:cNvSpPr/>
      </xdr:nvSpPr>
      <xdr:spPr>
        <a:xfrm>
          <a:off x="2581274" y="39814500"/>
          <a:ext cx="1162051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200025</xdr:colOff>
      <xdr:row>116</xdr:row>
      <xdr:rowOff>238126</xdr:rowOff>
    </xdr:from>
    <xdr:to>
      <xdr:col>3</xdr:col>
      <xdr:colOff>247650</xdr:colOff>
      <xdr:row>117</xdr:row>
      <xdr:rowOff>247651</xdr:rowOff>
    </xdr:to>
    <xdr:sp macro="" textlink="">
      <xdr:nvSpPr>
        <xdr:cNvPr id="18" name="วงรี 17"/>
        <xdr:cNvSpPr/>
      </xdr:nvSpPr>
      <xdr:spPr>
        <a:xfrm>
          <a:off x="200025" y="29517976"/>
          <a:ext cx="2895600" cy="2667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180975</xdr:colOff>
      <xdr:row>118</xdr:row>
      <xdr:rowOff>19051</xdr:rowOff>
    </xdr:from>
    <xdr:to>
      <xdr:col>3</xdr:col>
      <xdr:colOff>238125</xdr:colOff>
      <xdr:row>119</xdr:row>
      <xdr:rowOff>19050</xdr:rowOff>
    </xdr:to>
    <xdr:sp macro="" textlink="">
      <xdr:nvSpPr>
        <xdr:cNvPr id="19" name="วงรี 18"/>
        <xdr:cNvSpPr/>
      </xdr:nvSpPr>
      <xdr:spPr>
        <a:xfrm>
          <a:off x="180975" y="29813251"/>
          <a:ext cx="2905125" cy="25717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257175</xdr:colOff>
      <xdr:row>116</xdr:row>
      <xdr:rowOff>247650</xdr:rowOff>
    </xdr:from>
    <xdr:to>
      <xdr:col>8</xdr:col>
      <xdr:colOff>333376</xdr:colOff>
      <xdr:row>117</xdr:row>
      <xdr:rowOff>247651</xdr:rowOff>
    </xdr:to>
    <xdr:sp macro="" textlink="">
      <xdr:nvSpPr>
        <xdr:cNvPr id="20" name="วงรี 19"/>
        <xdr:cNvSpPr/>
      </xdr:nvSpPr>
      <xdr:spPr>
        <a:xfrm>
          <a:off x="4352925" y="29527500"/>
          <a:ext cx="1466851" cy="25717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285750</xdr:colOff>
      <xdr:row>118</xdr:row>
      <xdr:rowOff>38100</xdr:rowOff>
    </xdr:from>
    <xdr:to>
      <xdr:col>8</xdr:col>
      <xdr:colOff>361951</xdr:colOff>
      <xdr:row>118</xdr:row>
      <xdr:rowOff>247650</xdr:rowOff>
    </xdr:to>
    <xdr:sp macro="" textlink="">
      <xdr:nvSpPr>
        <xdr:cNvPr id="21" name="วงรี 20"/>
        <xdr:cNvSpPr/>
      </xdr:nvSpPr>
      <xdr:spPr>
        <a:xfrm>
          <a:off x="4381500" y="29832300"/>
          <a:ext cx="1466851" cy="2095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695325</xdr:colOff>
      <xdr:row>117</xdr:row>
      <xdr:rowOff>19050</xdr:rowOff>
    </xdr:from>
    <xdr:to>
      <xdr:col>6</xdr:col>
      <xdr:colOff>180975</xdr:colOff>
      <xdr:row>117</xdr:row>
      <xdr:rowOff>238125</xdr:rowOff>
    </xdr:to>
    <xdr:sp macro="" textlink="">
      <xdr:nvSpPr>
        <xdr:cNvPr id="22" name="วงรี 21"/>
        <xdr:cNvSpPr/>
      </xdr:nvSpPr>
      <xdr:spPr>
        <a:xfrm>
          <a:off x="3543300" y="29556075"/>
          <a:ext cx="733425" cy="2190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714375</xdr:colOff>
      <xdr:row>118</xdr:row>
      <xdr:rowOff>38100</xdr:rowOff>
    </xdr:from>
    <xdr:to>
      <xdr:col>6</xdr:col>
      <xdr:colOff>200025</xdr:colOff>
      <xdr:row>118</xdr:row>
      <xdr:rowOff>247650</xdr:rowOff>
    </xdr:to>
    <xdr:sp macro="" textlink="">
      <xdr:nvSpPr>
        <xdr:cNvPr id="23" name="วงรี 22"/>
        <xdr:cNvSpPr/>
      </xdr:nvSpPr>
      <xdr:spPr>
        <a:xfrm>
          <a:off x="3562350" y="29832300"/>
          <a:ext cx="733425" cy="2095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276225</xdr:colOff>
      <xdr:row>86</xdr:row>
      <xdr:rowOff>219075</xdr:rowOff>
    </xdr:from>
    <xdr:to>
      <xdr:col>8</xdr:col>
      <xdr:colOff>285750</xdr:colOff>
      <xdr:row>87</xdr:row>
      <xdr:rowOff>219075</xdr:rowOff>
    </xdr:to>
    <xdr:sp macro="" textlink="">
      <xdr:nvSpPr>
        <xdr:cNvPr id="24" name="วงรี 23"/>
        <xdr:cNvSpPr/>
      </xdr:nvSpPr>
      <xdr:spPr>
        <a:xfrm>
          <a:off x="4371975" y="21640800"/>
          <a:ext cx="1400175" cy="2381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600075</xdr:colOff>
      <xdr:row>87</xdr:row>
      <xdr:rowOff>0</xdr:rowOff>
    </xdr:from>
    <xdr:to>
      <xdr:col>6</xdr:col>
      <xdr:colOff>95251</xdr:colOff>
      <xdr:row>88</xdr:row>
      <xdr:rowOff>0</xdr:rowOff>
    </xdr:to>
    <xdr:sp macro="" textlink="">
      <xdr:nvSpPr>
        <xdr:cNvPr id="25" name="วงรี 24"/>
        <xdr:cNvSpPr/>
      </xdr:nvSpPr>
      <xdr:spPr>
        <a:xfrm>
          <a:off x="3448050" y="21659850"/>
          <a:ext cx="742951" cy="2381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762000</xdr:colOff>
      <xdr:row>103</xdr:row>
      <xdr:rowOff>0</xdr:rowOff>
    </xdr:from>
    <xdr:to>
      <xdr:col>6</xdr:col>
      <xdr:colOff>171450</xdr:colOff>
      <xdr:row>104</xdr:row>
      <xdr:rowOff>0</xdr:rowOff>
    </xdr:to>
    <xdr:sp macro="" textlink="">
      <xdr:nvSpPr>
        <xdr:cNvPr id="26" name="วงรี 25"/>
        <xdr:cNvSpPr/>
      </xdr:nvSpPr>
      <xdr:spPr>
        <a:xfrm>
          <a:off x="3609975" y="25974675"/>
          <a:ext cx="657225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685800</xdr:colOff>
      <xdr:row>93</xdr:row>
      <xdr:rowOff>19050</xdr:rowOff>
    </xdr:from>
    <xdr:to>
      <xdr:col>6</xdr:col>
      <xdr:colOff>95250</xdr:colOff>
      <xdr:row>94</xdr:row>
      <xdr:rowOff>19050</xdr:rowOff>
    </xdr:to>
    <xdr:sp macro="" textlink="">
      <xdr:nvSpPr>
        <xdr:cNvPr id="27" name="วงรี 26"/>
        <xdr:cNvSpPr/>
      </xdr:nvSpPr>
      <xdr:spPr>
        <a:xfrm>
          <a:off x="3533775" y="23421975"/>
          <a:ext cx="657225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733425</xdr:colOff>
      <xdr:row>76</xdr:row>
      <xdr:rowOff>238125</xdr:rowOff>
    </xdr:from>
    <xdr:to>
      <xdr:col>6</xdr:col>
      <xdr:colOff>142875</xdr:colOff>
      <xdr:row>78</xdr:row>
      <xdr:rowOff>0</xdr:rowOff>
    </xdr:to>
    <xdr:sp macro="" textlink="">
      <xdr:nvSpPr>
        <xdr:cNvPr id="28" name="วงรี 27"/>
        <xdr:cNvSpPr/>
      </xdr:nvSpPr>
      <xdr:spPr>
        <a:xfrm>
          <a:off x="3581400" y="19259550"/>
          <a:ext cx="657225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286720</xdr:colOff>
      <xdr:row>4</xdr:row>
      <xdr:rowOff>9525</xdr:rowOff>
    </xdr:from>
    <xdr:ext cx="1133475" cy="262572"/>
    <xdr:sp macro="" textlink="">
      <xdr:nvSpPr>
        <xdr:cNvPr id="2" name="TextBox 1"/>
        <xdr:cNvSpPr txBox="1"/>
      </xdr:nvSpPr>
      <xdr:spPr>
        <a:xfrm>
          <a:off x="286720" y="1409700"/>
          <a:ext cx="1133475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เงินเดือนปัจจุบัน</a:t>
          </a:r>
        </a:p>
      </xdr:txBody>
    </xdr:sp>
    <xdr:clientData/>
  </xdr:oneCellAnchor>
  <xdr:oneCellAnchor>
    <xdr:from>
      <xdr:col>3</xdr:col>
      <xdr:colOff>554200</xdr:colOff>
      <xdr:row>3</xdr:row>
      <xdr:rowOff>99560</xdr:rowOff>
    </xdr:from>
    <xdr:ext cx="2671245" cy="928203"/>
    <xdr:sp macro="" textlink="">
      <xdr:nvSpPr>
        <xdr:cNvPr id="3" name="สี่เหลี่ยมผืนผ้า 2"/>
        <xdr:cNvSpPr/>
      </xdr:nvSpPr>
      <xdr:spPr>
        <a:xfrm>
          <a:off x="3154525" y="1252085"/>
          <a:ext cx="2671245" cy="92820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h-TH" sz="5400" b="1" i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ตัวอย่าง</a:t>
          </a:r>
        </a:p>
      </xdr:txBody>
    </xdr:sp>
    <xdr:clientData/>
  </xdr:oneCellAnchor>
  <xdr:twoCellAnchor>
    <xdr:from>
      <xdr:col>3</xdr:col>
      <xdr:colOff>174949</xdr:colOff>
      <xdr:row>9</xdr:row>
      <xdr:rowOff>29157</xdr:rowOff>
    </xdr:from>
    <xdr:to>
      <xdr:col>3</xdr:col>
      <xdr:colOff>1477346</xdr:colOff>
      <xdr:row>10</xdr:row>
      <xdr:rowOff>2</xdr:rowOff>
    </xdr:to>
    <xdr:sp macro="" textlink="">
      <xdr:nvSpPr>
        <xdr:cNvPr id="4" name="วงรี 3"/>
        <xdr:cNvSpPr/>
      </xdr:nvSpPr>
      <xdr:spPr>
        <a:xfrm>
          <a:off x="2775274" y="3401007"/>
          <a:ext cx="1159522" cy="29469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48597</xdr:colOff>
      <xdr:row>9</xdr:row>
      <xdr:rowOff>29156</xdr:rowOff>
    </xdr:from>
    <xdr:to>
      <xdr:col>5</xdr:col>
      <xdr:colOff>38877</xdr:colOff>
      <xdr:row>10</xdr:row>
      <xdr:rowOff>19436</xdr:rowOff>
    </xdr:to>
    <xdr:sp macro="" textlink="">
      <xdr:nvSpPr>
        <xdr:cNvPr id="5" name="วงรี 4"/>
        <xdr:cNvSpPr/>
      </xdr:nvSpPr>
      <xdr:spPr>
        <a:xfrm>
          <a:off x="3982422" y="3401006"/>
          <a:ext cx="1342830" cy="314130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252704</xdr:colOff>
      <xdr:row>10</xdr:row>
      <xdr:rowOff>58315</xdr:rowOff>
    </xdr:from>
    <xdr:to>
      <xdr:col>3</xdr:col>
      <xdr:colOff>1457908</xdr:colOff>
      <xdr:row>11</xdr:row>
      <xdr:rowOff>29157</xdr:rowOff>
    </xdr:to>
    <xdr:sp macro="" textlink="">
      <xdr:nvSpPr>
        <xdr:cNvPr id="6" name="วงรี 5"/>
        <xdr:cNvSpPr/>
      </xdr:nvSpPr>
      <xdr:spPr>
        <a:xfrm>
          <a:off x="2853029" y="3754015"/>
          <a:ext cx="1081379" cy="294692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116633</xdr:colOff>
      <xdr:row>10</xdr:row>
      <xdr:rowOff>77751</xdr:rowOff>
    </xdr:from>
    <xdr:to>
      <xdr:col>5</xdr:col>
      <xdr:colOff>38878</xdr:colOff>
      <xdr:row>11</xdr:row>
      <xdr:rowOff>38874</xdr:rowOff>
    </xdr:to>
    <xdr:sp macro="" textlink="">
      <xdr:nvSpPr>
        <xdr:cNvPr id="7" name="วงรี 6"/>
        <xdr:cNvSpPr/>
      </xdr:nvSpPr>
      <xdr:spPr>
        <a:xfrm>
          <a:off x="4050458" y="3773451"/>
          <a:ext cx="1274795" cy="284973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68037</xdr:colOff>
      <xdr:row>9</xdr:row>
      <xdr:rowOff>29159</xdr:rowOff>
    </xdr:from>
    <xdr:to>
      <xdr:col>3</xdr:col>
      <xdr:colOff>126352</xdr:colOff>
      <xdr:row>10</xdr:row>
      <xdr:rowOff>19437</xdr:rowOff>
    </xdr:to>
    <xdr:sp macro="" textlink="">
      <xdr:nvSpPr>
        <xdr:cNvPr id="8" name="วงรี 7"/>
        <xdr:cNvSpPr/>
      </xdr:nvSpPr>
      <xdr:spPr>
        <a:xfrm>
          <a:off x="1401537" y="3401009"/>
          <a:ext cx="1325140" cy="314128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748393</xdr:colOff>
      <xdr:row>22</xdr:row>
      <xdr:rowOff>77754</xdr:rowOff>
    </xdr:from>
    <xdr:to>
      <xdr:col>13</xdr:col>
      <xdr:colOff>48596</xdr:colOff>
      <xdr:row>23</xdr:row>
      <xdr:rowOff>106915</xdr:rowOff>
    </xdr:to>
    <xdr:sp macro="" textlink="">
      <xdr:nvSpPr>
        <xdr:cNvPr id="9" name="วงรี 8"/>
        <xdr:cNvSpPr/>
      </xdr:nvSpPr>
      <xdr:spPr>
        <a:xfrm>
          <a:off x="9730468" y="7659654"/>
          <a:ext cx="1052803" cy="353011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0</xdr:colOff>
      <xdr:row>22</xdr:row>
      <xdr:rowOff>48595</xdr:rowOff>
    </xdr:from>
    <xdr:to>
      <xdr:col>14</xdr:col>
      <xdr:colOff>1098291</xdr:colOff>
      <xdr:row>23</xdr:row>
      <xdr:rowOff>77756</xdr:rowOff>
    </xdr:to>
    <xdr:sp macro="" textlink="">
      <xdr:nvSpPr>
        <xdr:cNvPr id="10" name="วงรี 9"/>
        <xdr:cNvSpPr/>
      </xdr:nvSpPr>
      <xdr:spPr>
        <a:xfrm>
          <a:off x="11658600" y="7630495"/>
          <a:ext cx="1098291" cy="353011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680358</xdr:colOff>
      <xdr:row>21</xdr:row>
      <xdr:rowOff>19439</xdr:rowOff>
    </xdr:from>
    <xdr:to>
      <xdr:col>13</xdr:col>
      <xdr:colOff>38878</xdr:colOff>
      <xdr:row>22</xdr:row>
      <xdr:rowOff>48598</xdr:rowOff>
    </xdr:to>
    <xdr:sp macro="" textlink="">
      <xdr:nvSpPr>
        <xdr:cNvPr id="11" name="วงรี 10"/>
        <xdr:cNvSpPr/>
      </xdr:nvSpPr>
      <xdr:spPr>
        <a:xfrm>
          <a:off x="9662433" y="7277489"/>
          <a:ext cx="1111120" cy="35300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835867</xdr:colOff>
      <xdr:row>21</xdr:row>
      <xdr:rowOff>19438</xdr:rowOff>
    </xdr:from>
    <xdr:to>
      <xdr:col>14</xdr:col>
      <xdr:colOff>1088570</xdr:colOff>
      <xdr:row>22</xdr:row>
      <xdr:rowOff>48597</xdr:rowOff>
    </xdr:to>
    <xdr:sp macro="" textlink="">
      <xdr:nvSpPr>
        <xdr:cNvPr id="12" name="วงรี 11"/>
        <xdr:cNvSpPr/>
      </xdr:nvSpPr>
      <xdr:spPr>
        <a:xfrm>
          <a:off x="11570542" y="7277488"/>
          <a:ext cx="1176628" cy="35300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709515</xdr:colOff>
      <xdr:row>5</xdr:row>
      <xdr:rowOff>223544</xdr:rowOff>
    </xdr:from>
    <xdr:to>
      <xdr:col>6</xdr:col>
      <xdr:colOff>184669</xdr:colOff>
      <xdr:row>5</xdr:row>
      <xdr:rowOff>225132</xdr:rowOff>
    </xdr:to>
    <xdr:cxnSp macro="">
      <xdr:nvCxnSpPr>
        <xdr:cNvPr id="13" name="ลูกศรเชื่อมต่อแบบตรง 12"/>
        <xdr:cNvCxnSpPr/>
      </xdr:nvCxnSpPr>
      <xdr:spPr>
        <a:xfrm>
          <a:off x="5995890" y="2299994"/>
          <a:ext cx="475279" cy="1588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738673</xdr:colOff>
      <xdr:row>6</xdr:row>
      <xdr:rowOff>252701</xdr:rowOff>
    </xdr:from>
    <xdr:to>
      <xdr:col>6</xdr:col>
      <xdr:colOff>184669</xdr:colOff>
      <xdr:row>6</xdr:row>
      <xdr:rowOff>252702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025048" y="2653001"/>
          <a:ext cx="446121" cy="1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796989</xdr:colOff>
      <xdr:row>21</xdr:row>
      <xdr:rowOff>204108</xdr:rowOff>
    </xdr:from>
    <xdr:to>
      <xdr:col>10</xdr:col>
      <xdr:colOff>136071</xdr:colOff>
      <xdr:row>22</xdr:row>
      <xdr:rowOff>233267</xdr:rowOff>
    </xdr:to>
    <xdr:sp macro="" textlink="">
      <xdr:nvSpPr>
        <xdr:cNvPr id="15" name="วงรี 14"/>
        <xdr:cNvSpPr/>
      </xdr:nvSpPr>
      <xdr:spPr>
        <a:xfrm>
          <a:off x="8007414" y="7462158"/>
          <a:ext cx="1110732" cy="35300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1214924</xdr:colOff>
      <xdr:row>4</xdr:row>
      <xdr:rowOff>340178</xdr:rowOff>
    </xdr:from>
    <xdr:to>
      <xdr:col>6</xdr:col>
      <xdr:colOff>554004</xdr:colOff>
      <xdr:row>5</xdr:row>
      <xdr:rowOff>136071</xdr:rowOff>
    </xdr:to>
    <xdr:cxnSp macro="">
      <xdr:nvCxnSpPr>
        <xdr:cNvPr id="16" name="ตัวเชื่อมต่อโค้ง 15"/>
        <xdr:cNvCxnSpPr/>
      </xdr:nvCxnSpPr>
      <xdr:spPr>
        <a:xfrm rot="10800000">
          <a:off x="2548424" y="1740353"/>
          <a:ext cx="4292080" cy="472168"/>
        </a:xfrm>
        <a:prstGeom prst="curvedConnector3">
          <a:avLst>
            <a:gd name="adj1" fmla="val 1940"/>
          </a:avLst>
        </a:prstGeom>
        <a:ln>
          <a:solidFill>
            <a:srgbClr val="0070C0"/>
          </a:solidFill>
          <a:prstDash val="sysDash"/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777552</xdr:colOff>
      <xdr:row>4</xdr:row>
      <xdr:rowOff>456811</xdr:rowOff>
    </xdr:from>
    <xdr:to>
      <xdr:col>1</xdr:col>
      <xdr:colOff>787274</xdr:colOff>
      <xdr:row>5</xdr:row>
      <xdr:rowOff>116635</xdr:rowOff>
    </xdr:to>
    <xdr:cxnSp macro="">
      <xdr:nvCxnSpPr>
        <xdr:cNvPr id="17" name="ลูกศรเชื่อมต่อแบบตรง 16"/>
        <xdr:cNvCxnSpPr/>
      </xdr:nvCxnSpPr>
      <xdr:spPr>
        <a:xfrm rot="5400000">
          <a:off x="1947863" y="2020175"/>
          <a:ext cx="336099" cy="9722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1293263</xdr:colOff>
      <xdr:row>5</xdr:row>
      <xdr:rowOff>223545</xdr:rowOff>
    </xdr:from>
    <xdr:to>
      <xdr:col>5</xdr:col>
      <xdr:colOff>281863</xdr:colOff>
      <xdr:row>5</xdr:row>
      <xdr:rowOff>225133</xdr:rowOff>
    </xdr:to>
    <xdr:cxnSp macro="">
      <xdr:nvCxnSpPr>
        <xdr:cNvPr id="18" name="ลูกศรเชื่อมต่อแบบตรง 17"/>
        <xdr:cNvCxnSpPr/>
      </xdr:nvCxnSpPr>
      <xdr:spPr>
        <a:xfrm>
          <a:off x="5227088" y="2299995"/>
          <a:ext cx="341150" cy="1588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1293651</xdr:colOff>
      <xdr:row>6</xdr:row>
      <xdr:rowOff>223546</xdr:rowOff>
    </xdr:from>
    <xdr:to>
      <xdr:col>5</xdr:col>
      <xdr:colOff>262425</xdr:colOff>
      <xdr:row>6</xdr:row>
      <xdr:rowOff>225134</xdr:rowOff>
    </xdr:to>
    <xdr:cxnSp macro="">
      <xdr:nvCxnSpPr>
        <xdr:cNvPr id="19" name="ลูกศรเชื่อมต่อแบบตรง 18"/>
        <xdr:cNvCxnSpPr/>
      </xdr:nvCxnSpPr>
      <xdr:spPr>
        <a:xfrm>
          <a:off x="5227476" y="2623846"/>
          <a:ext cx="321324" cy="1588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1244083</xdr:colOff>
      <xdr:row>5</xdr:row>
      <xdr:rowOff>233266</xdr:rowOff>
    </xdr:from>
    <xdr:to>
      <xdr:col>6</xdr:col>
      <xdr:colOff>495695</xdr:colOff>
      <xdr:row>6</xdr:row>
      <xdr:rowOff>126357</xdr:rowOff>
    </xdr:to>
    <xdr:cxnSp macro="">
      <xdr:nvCxnSpPr>
        <xdr:cNvPr id="20" name="ตัวเชื่อมต่อโค้ง 19"/>
        <xdr:cNvCxnSpPr/>
      </xdr:nvCxnSpPr>
      <xdr:spPr>
        <a:xfrm rot="10800000">
          <a:off x="2577583" y="2309716"/>
          <a:ext cx="4204612" cy="216941"/>
        </a:xfrm>
        <a:prstGeom prst="curvedConnector3">
          <a:avLst>
            <a:gd name="adj1" fmla="val 87097"/>
          </a:avLst>
        </a:prstGeom>
        <a:ln>
          <a:solidFill>
            <a:srgbClr val="0070C0"/>
          </a:solidFill>
          <a:prstDash val="sysDash"/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787270</xdr:colOff>
      <xdr:row>6</xdr:row>
      <xdr:rowOff>0</xdr:rowOff>
    </xdr:from>
    <xdr:to>
      <xdr:col>1</xdr:col>
      <xdr:colOff>787273</xdr:colOff>
      <xdr:row>6</xdr:row>
      <xdr:rowOff>184668</xdr:rowOff>
    </xdr:to>
    <xdr:cxnSp macro="">
      <xdr:nvCxnSpPr>
        <xdr:cNvPr id="21" name="ลูกศรเชื่อมต่อแบบตรง 20"/>
        <xdr:cNvCxnSpPr/>
      </xdr:nvCxnSpPr>
      <xdr:spPr>
        <a:xfrm rot="16200000" flipH="1">
          <a:off x="2028438" y="2492632"/>
          <a:ext cx="184668" cy="3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19</xdr:row>
      <xdr:rowOff>285750</xdr:rowOff>
    </xdr:from>
    <xdr:to>
      <xdr:col>6</xdr:col>
      <xdr:colOff>1260410</xdr:colOff>
      <xdr:row>20</xdr:row>
      <xdr:rowOff>292749</xdr:rowOff>
    </xdr:to>
    <xdr:sp macro="" textlink="">
      <xdr:nvSpPr>
        <xdr:cNvPr id="2" name="วงรี 1"/>
        <xdr:cNvSpPr/>
      </xdr:nvSpPr>
      <xdr:spPr>
        <a:xfrm>
          <a:off x="5343525" y="5867400"/>
          <a:ext cx="1108010" cy="302274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123825</xdr:colOff>
      <xdr:row>20</xdr:row>
      <xdr:rowOff>9526</xdr:rowOff>
    </xdr:from>
    <xdr:to>
      <xdr:col>5</xdr:col>
      <xdr:colOff>88835</xdr:colOff>
      <xdr:row>21</xdr:row>
      <xdr:rowOff>38101</xdr:rowOff>
    </xdr:to>
    <xdr:sp macro="" textlink="">
      <xdr:nvSpPr>
        <xdr:cNvPr id="3" name="วงรี 2"/>
        <xdr:cNvSpPr/>
      </xdr:nvSpPr>
      <xdr:spPr>
        <a:xfrm>
          <a:off x="3276600" y="5886451"/>
          <a:ext cx="1108010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1171575</xdr:colOff>
      <xdr:row>20</xdr:row>
      <xdr:rowOff>95250</xdr:rowOff>
    </xdr:from>
    <xdr:to>
      <xdr:col>2</xdr:col>
      <xdr:colOff>107885</xdr:colOff>
      <xdr:row>21</xdr:row>
      <xdr:rowOff>149874</xdr:rowOff>
    </xdr:to>
    <xdr:sp macro="" textlink="">
      <xdr:nvSpPr>
        <xdr:cNvPr id="4" name="วงรี 3"/>
        <xdr:cNvSpPr/>
      </xdr:nvSpPr>
      <xdr:spPr>
        <a:xfrm>
          <a:off x="1171575" y="5972175"/>
          <a:ext cx="1108010" cy="34989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142875</xdr:colOff>
      <xdr:row>21</xdr:row>
      <xdr:rowOff>76200</xdr:rowOff>
    </xdr:from>
    <xdr:to>
      <xdr:col>5</xdr:col>
      <xdr:colOff>49568</xdr:colOff>
      <xdr:row>22</xdr:row>
      <xdr:rowOff>85725</xdr:rowOff>
    </xdr:to>
    <xdr:sp macro="" textlink="">
      <xdr:nvSpPr>
        <xdr:cNvPr id="5" name="วงรี 4"/>
        <xdr:cNvSpPr/>
      </xdr:nvSpPr>
      <xdr:spPr>
        <a:xfrm>
          <a:off x="3295650" y="6248400"/>
          <a:ext cx="1049693" cy="304800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171450</xdr:colOff>
      <xdr:row>21</xdr:row>
      <xdr:rowOff>47625</xdr:rowOff>
    </xdr:from>
    <xdr:to>
      <xdr:col>6</xdr:col>
      <xdr:colOff>1221143</xdr:colOff>
      <xdr:row>22</xdr:row>
      <xdr:rowOff>47625</xdr:rowOff>
    </xdr:to>
    <xdr:sp macro="" textlink="">
      <xdr:nvSpPr>
        <xdr:cNvPr id="6" name="วงรี 5"/>
        <xdr:cNvSpPr/>
      </xdr:nvSpPr>
      <xdr:spPr>
        <a:xfrm>
          <a:off x="5362575" y="6219825"/>
          <a:ext cx="1049693" cy="29527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70</xdr:row>
      <xdr:rowOff>161925</xdr:rowOff>
    </xdr:from>
    <xdr:to>
      <xdr:col>4</xdr:col>
      <xdr:colOff>190500</xdr:colOff>
      <xdr:row>71</xdr:row>
      <xdr:rowOff>28575</xdr:rowOff>
    </xdr:to>
    <xdr:sp macro="" textlink="">
      <xdr:nvSpPr>
        <xdr:cNvPr id="2" name="วงรี 1"/>
        <xdr:cNvSpPr/>
      </xdr:nvSpPr>
      <xdr:spPr>
        <a:xfrm>
          <a:off x="1714499" y="18564225"/>
          <a:ext cx="1466851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133349</xdr:colOff>
      <xdr:row>71</xdr:row>
      <xdr:rowOff>152399</xdr:rowOff>
    </xdr:from>
    <xdr:to>
      <xdr:col>4</xdr:col>
      <xdr:colOff>161925</xdr:colOff>
      <xdr:row>71</xdr:row>
      <xdr:rowOff>485774</xdr:rowOff>
    </xdr:to>
    <xdr:sp macro="" textlink="">
      <xdr:nvSpPr>
        <xdr:cNvPr id="3" name="วงรี 2"/>
        <xdr:cNvSpPr/>
      </xdr:nvSpPr>
      <xdr:spPr>
        <a:xfrm>
          <a:off x="1685924" y="19040474"/>
          <a:ext cx="1466851" cy="3333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66675</xdr:colOff>
      <xdr:row>70</xdr:row>
      <xdr:rowOff>161924</xdr:rowOff>
    </xdr:from>
    <xdr:to>
      <xdr:col>7</xdr:col>
      <xdr:colOff>342901</xdr:colOff>
      <xdr:row>71</xdr:row>
      <xdr:rowOff>9524</xdr:rowOff>
    </xdr:to>
    <xdr:sp macro="" textlink="">
      <xdr:nvSpPr>
        <xdr:cNvPr id="4" name="วงรี 3"/>
        <xdr:cNvSpPr/>
      </xdr:nvSpPr>
      <xdr:spPr>
        <a:xfrm>
          <a:off x="3057525" y="18564224"/>
          <a:ext cx="1600201" cy="333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71</xdr:row>
      <xdr:rowOff>142876</xdr:rowOff>
    </xdr:from>
    <xdr:to>
      <xdr:col>7</xdr:col>
      <xdr:colOff>304801</xdr:colOff>
      <xdr:row>72</xdr:row>
      <xdr:rowOff>0</xdr:rowOff>
    </xdr:to>
    <xdr:sp macro="" textlink="">
      <xdr:nvSpPr>
        <xdr:cNvPr id="5" name="วงรี 4"/>
        <xdr:cNvSpPr/>
      </xdr:nvSpPr>
      <xdr:spPr>
        <a:xfrm>
          <a:off x="3019425" y="19030951"/>
          <a:ext cx="1600201" cy="34289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466726</xdr:colOff>
      <xdr:row>70</xdr:row>
      <xdr:rowOff>323850</xdr:rowOff>
    </xdr:from>
    <xdr:to>
      <xdr:col>8</xdr:col>
      <xdr:colOff>133351</xdr:colOff>
      <xdr:row>70</xdr:row>
      <xdr:rowOff>325438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4781551" y="18726150"/>
          <a:ext cx="885825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447676</xdr:colOff>
      <xdr:row>71</xdr:row>
      <xdr:rowOff>295275</xdr:rowOff>
    </xdr:from>
    <xdr:to>
      <xdr:col>8</xdr:col>
      <xdr:colOff>152401</xdr:colOff>
      <xdr:row>71</xdr:row>
      <xdr:rowOff>295277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4762501" y="19183350"/>
          <a:ext cx="923925" cy="2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78</xdr:row>
      <xdr:rowOff>0</xdr:rowOff>
    </xdr:from>
    <xdr:to>
      <xdr:col>2</xdr:col>
      <xdr:colOff>257176</xdr:colOff>
      <xdr:row>79</xdr:row>
      <xdr:rowOff>19049</xdr:rowOff>
    </xdr:to>
    <xdr:sp macro="" textlink="">
      <xdr:nvSpPr>
        <xdr:cNvPr id="8" name="วงรี 7"/>
        <xdr:cNvSpPr/>
      </xdr:nvSpPr>
      <xdr:spPr>
        <a:xfrm>
          <a:off x="342900" y="21669375"/>
          <a:ext cx="1466851" cy="3619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114300</xdr:colOff>
      <xdr:row>87</xdr:row>
      <xdr:rowOff>333375</xdr:rowOff>
    </xdr:from>
    <xdr:to>
      <xdr:col>4</xdr:col>
      <xdr:colOff>142876</xdr:colOff>
      <xdr:row>89</xdr:row>
      <xdr:rowOff>0</xdr:rowOff>
    </xdr:to>
    <xdr:sp macro="" textlink="">
      <xdr:nvSpPr>
        <xdr:cNvPr id="9" name="วงรี 8"/>
        <xdr:cNvSpPr/>
      </xdr:nvSpPr>
      <xdr:spPr>
        <a:xfrm>
          <a:off x="1666875" y="25088850"/>
          <a:ext cx="146685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95</xdr:row>
      <xdr:rowOff>304801</xdr:rowOff>
    </xdr:from>
    <xdr:to>
      <xdr:col>2</xdr:col>
      <xdr:colOff>295276</xdr:colOff>
      <xdr:row>96</xdr:row>
      <xdr:rowOff>314326</xdr:rowOff>
    </xdr:to>
    <xdr:sp macro="" textlink="">
      <xdr:nvSpPr>
        <xdr:cNvPr id="10" name="วงรี 9"/>
        <xdr:cNvSpPr/>
      </xdr:nvSpPr>
      <xdr:spPr>
        <a:xfrm>
          <a:off x="381000" y="27774901"/>
          <a:ext cx="1466851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152400</xdr:colOff>
      <xdr:row>106</xdr:row>
      <xdr:rowOff>19050</xdr:rowOff>
    </xdr:from>
    <xdr:to>
      <xdr:col>4</xdr:col>
      <xdr:colOff>180976</xdr:colOff>
      <xdr:row>107</xdr:row>
      <xdr:rowOff>19050</xdr:rowOff>
    </xdr:to>
    <xdr:sp macro="" textlink="">
      <xdr:nvSpPr>
        <xdr:cNvPr id="11" name="วงรี 10"/>
        <xdr:cNvSpPr/>
      </xdr:nvSpPr>
      <xdr:spPr>
        <a:xfrm>
          <a:off x="1704975" y="31232475"/>
          <a:ext cx="1466851" cy="3429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</xdr:col>
      <xdr:colOff>942975</xdr:colOff>
      <xdr:row>144</xdr:row>
      <xdr:rowOff>9525</xdr:rowOff>
    </xdr:from>
    <xdr:to>
      <xdr:col>7</xdr:col>
      <xdr:colOff>666750</xdr:colOff>
      <xdr:row>144</xdr:row>
      <xdr:rowOff>41147</xdr:rowOff>
    </xdr:to>
    <xdr:pic>
      <xdr:nvPicPr>
        <xdr:cNvPr id="12" name="รูปภาพ 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" y="41824275"/>
          <a:ext cx="383857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1009650</xdr:colOff>
      <xdr:row>148</xdr:row>
      <xdr:rowOff>228600</xdr:rowOff>
    </xdr:from>
    <xdr:to>
      <xdr:col>2</xdr:col>
      <xdr:colOff>1181101</xdr:colOff>
      <xdr:row>149</xdr:row>
      <xdr:rowOff>238124</xdr:rowOff>
    </xdr:to>
    <xdr:sp macro="" textlink="">
      <xdr:nvSpPr>
        <xdr:cNvPr id="13" name="วงรี 12"/>
        <xdr:cNvSpPr/>
      </xdr:nvSpPr>
      <xdr:spPr>
        <a:xfrm>
          <a:off x="1209675" y="43072050"/>
          <a:ext cx="15240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828674</xdr:colOff>
      <xdr:row>160</xdr:row>
      <xdr:rowOff>95250</xdr:rowOff>
    </xdr:from>
    <xdr:to>
      <xdr:col>4</xdr:col>
      <xdr:colOff>495300</xdr:colOff>
      <xdr:row>161</xdr:row>
      <xdr:rowOff>104774</xdr:rowOff>
    </xdr:to>
    <xdr:sp macro="" textlink="">
      <xdr:nvSpPr>
        <xdr:cNvPr id="14" name="วงรี 13"/>
        <xdr:cNvSpPr/>
      </xdr:nvSpPr>
      <xdr:spPr>
        <a:xfrm>
          <a:off x="2381249" y="46024800"/>
          <a:ext cx="11049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200025</xdr:colOff>
      <xdr:row>118</xdr:row>
      <xdr:rowOff>66675</xdr:rowOff>
    </xdr:from>
    <xdr:to>
      <xdr:col>4</xdr:col>
      <xdr:colOff>247650</xdr:colOff>
      <xdr:row>119</xdr:row>
      <xdr:rowOff>28576</xdr:rowOff>
    </xdr:to>
    <xdr:sp macro="" textlink="">
      <xdr:nvSpPr>
        <xdr:cNvPr id="15" name="วงรี 14"/>
        <xdr:cNvSpPr/>
      </xdr:nvSpPr>
      <xdr:spPr>
        <a:xfrm>
          <a:off x="400050" y="35433000"/>
          <a:ext cx="2838450" cy="29527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119</xdr:row>
      <xdr:rowOff>85726</xdr:rowOff>
    </xdr:from>
    <xdr:to>
      <xdr:col>4</xdr:col>
      <xdr:colOff>238125</xdr:colOff>
      <xdr:row>120</xdr:row>
      <xdr:rowOff>38100</xdr:rowOff>
    </xdr:to>
    <xdr:sp macro="" textlink="">
      <xdr:nvSpPr>
        <xdr:cNvPr id="16" name="วงรี 15"/>
        <xdr:cNvSpPr/>
      </xdr:nvSpPr>
      <xdr:spPr>
        <a:xfrm>
          <a:off x="381000" y="35785426"/>
          <a:ext cx="2847975" cy="2857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333376</xdr:colOff>
      <xdr:row>118</xdr:row>
      <xdr:rowOff>57150</xdr:rowOff>
    </xdr:from>
    <xdr:to>
      <xdr:col>9</xdr:col>
      <xdr:colOff>200025</xdr:colOff>
      <xdr:row>119</xdr:row>
      <xdr:rowOff>9525</xdr:rowOff>
    </xdr:to>
    <xdr:sp macro="" textlink="">
      <xdr:nvSpPr>
        <xdr:cNvPr id="17" name="วงรี 16"/>
        <xdr:cNvSpPr/>
      </xdr:nvSpPr>
      <xdr:spPr>
        <a:xfrm>
          <a:off x="4648201" y="35423475"/>
          <a:ext cx="1295399" cy="2857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352426</xdr:colOff>
      <xdr:row>119</xdr:row>
      <xdr:rowOff>95250</xdr:rowOff>
    </xdr:from>
    <xdr:to>
      <xdr:col>9</xdr:col>
      <xdr:colOff>209550</xdr:colOff>
      <xdr:row>120</xdr:row>
      <xdr:rowOff>28575</xdr:rowOff>
    </xdr:to>
    <xdr:sp macro="" textlink="">
      <xdr:nvSpPr>
        <xdr:cNvPr id="18" name="วงรี 17"/>
        <xdr:cNvSpPr/>
      </xdr:nvSpPr>
      <xdr:spPr>
        <a:xfrm>
          <a:off x="4667251" y="35794950"/>
          <a:ext cx="1285874" cy="2667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118</xdr:row>
      <xdr:rowOff>95250</xdr:rowOff>
    </xdr:from>
    <xdr:to>
      <xdr:col>7</xdr:col>
      <xdr:colOff>180975</xdr:colOff>
      <xdr:row>118</xdr:row>
      <xdr:rowOff>314325</xdr:rowOff>
    </xdr:to>
    <xdr:sp macro="" textlink="">
      <xdr:nvSpPr>
        <xdr:cNvPr id="19" name="วงรี 18"/>
        <xdr:cNvSpPr/>
      </xdr:nvSpPr>
      <xdr:spPr>
        <a:xfrm>
          <a:off x="3686175" y="35461575"/>
          <a:ext cx="809625" cy="2190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714375</xdr:colOff>
      <xdr:row>119</xdr:row>
      <xdr:rowOff>114300</xdr:rowOff>
    </xdr:from>
    <xdr:to>
      <xdr:col>7</xdr:col>
      <xdr:colOff>200025</xdr:colOff>
      <xdr:row>119</xdr:row>
      <xdr:rowOff>323850</xdr:rowOff>
    </xdr:to>
    <xdr:sp macro="" textlink="">
      <xdr:nvSpPr>
        <xdr:cNvPr id="20" name="วงรี 19"/>
        <xdr:cNvSpPr/>
      </xdr:nvSpPr>
      <xdr:spPr>
        <a:xfrm>
          <a:off x="3705225" y="35814000"/>
          <a:ext cx="809625" cy="2095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723900</xdr:colOff>
      <xdr:row>87</xdr:row>
      <xdr:rowOff>333375</xdr:rowOff>
    </xdr:from>
    <xdr:to>
      <xdr:col>7</xdr:col>
      <xdr:colOff>209550</xdr:colOff>
      <xdr:row>89</xdr:row>
      <xdr:rowOff>0</xdr:rowOff>
    </xdr:to>
    <xdr:sp macro="" textlink="">
      <xdr:nvSpPr>
        <xdr:cNvPr id="21" name="วงรี 20"/>
        <xdr:cNvSpPr/>
      </xdr:nvSpPr>
      <xdr:spPr>
        <a:xfrm>
          <a:off x="3714750" y="25088850"/>
          <a:ext cx="809625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78</xdr:row>
      <xdr:rowOff>0</xdr:rowOff>
    </xdr:from>
    <xdr:to>
      <xdr:col>7</xdr:col>
      <xdr:colOff>142876</xdr:colOff>
      <xdr:row>79</xdr:row>
      <xdr:rowOff>9525</xdr:rowOff>
    </xdr:to>
    <xdr:sp macro="" textlink="">
      <xdr:nvSpPr>
        <xdr:cNvPr id="22" name="วงรี 21"/>
        <xdr:cNvSpPr/>
      </xdr:nvSpPr>
      <xdr:spPr>
        <a:xfrm>
          <a:off x="3686175" y="21669375"/>
          <a:ext cx="7715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800100</xdr:colOff>
      <xdr:row>96</xdr:row>
      <xdr:rowOff>0</xdr:rowOff>
    </xdr:from>
    <xdr:to>
      <xdr:col>7</xdr:col>
      <xdr:colOff>142876</xdr:colOff>
      <xdr:row>97</xdr:row>
      <xdr:rowOff>9525</xdr:rowOff>
    </xdr:to>
    <xdr:sp macro="" textlink="">
      <xdr:nvSpPr>
        <xdr:cNvPr id="23" name="วงรี 22"/>
        <xdr:cNvSpPr/>
      </xdr:nvSpPr>
      <xdr:spPr>
        <a:xfrm>
          <a:off x="3790950" y="27784425"/>
          <a:ext cx="66675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723900</xdr:colOff>
      <xdr:row>106</xdr:row>
      <xdr:rowOff>0</xdr:rowOff>
    </xdr:from>
    <xdr:to>
      <xdr:col>7</xdr:col>
      <xdr:colOff>142876</xdr:colOff>
      <xdr:row>107</xdr:row>
      <xdr:rowOff>9525</xdr:rowOff>
    </xdr:to>
    <xdr:sp macro="" textlink="">
      <xdr:nvSpPr>
        <xdr:cNvPr id="24" name="วงรี 23"/>
        <xdr:cNvSpPr/>
      </xdr:nvSpPr>
      <xdr:spPr>
        <a:xfrm>
          <a:off x="3714750" y="31213425"/>
          <a:ext cx="74295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74</xdr:row>
      <xdr:rowOff>161925</xdr:rowOff>
    </xdr:from>
    <xdr:to>
      <xdr:col>4</xdr:col>
      <xdr:colOff>190500</xdr:colOff>
      <xdr:row>75</xdr:row>
      <xdr:rowOff>28575</xdr:rowOff>
    </xdr:to>
    <xdr:sp macro="" textlink="">
      <xdr:nvSpPr>
        <xdr:cNvPr id="2" name="วงรี 1"/>
        <xdr:cNvSpPr/>
      </xdr:nvSpPr>
      <xdr:spPr>
        <a:xfrm>
          <a:off x="1714499" y="18564225"/>
          <a:ext cx="1466851" cy="35242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133349</xdr:colOff>
      <xdr:row>75</xdr:row>
      <xdr:rowOff>152399</xdr:rowOff>
    </xdr:from>
    <xdr:to>
      <xdr:col>4</xdr:col>
      <xdr:colOff>161925</xdr:colOff>
      <xdr:row>75</xdr:row>
      <xdr:rowOff>485774</xdr:rowOff>
    </xdr:to>
    <xdr:sp macro="" textlink="">
      <xdr:nvSpPr>
        <xdr:cNvPr id="3" name="วงรี 2"/>
        <xdr:cNvSpPr/>
      </xdr:nvSpPr>
      <xdr:spPr>
        <a:xfrm>
          <a:off x="1685924" y="19040474"/>
          <a:ext cx="1466851" cy="3333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66675</xdr:colOff>
      <xdr:row>74</xdr:row>
      <xdr:rowOff>161924</xdr:rowOff>
    </xdr:from>
    <xdr:to>
      <xdr:col>7</xdr:col>
      <xdr:colOff>342901</xdr:colOff>
      <xdr:row>75</xdr:row>
      <xdr:rowOff>9524</xdr:rowOff>
    </xdr:to>
    <xdr:sp macro="" textlink="">
      <xdr:nvSpPr>
        <xdr:cNvPr id="4" name="วงรี 3"/>
        <xdr:cNvSpPr/>
      </xdr:nvSpPr>
      <xdr:spPr>
        <a:xfrm>
          <a:off x="3057525" y="18564224"/>
          <a:ext cx="1600201" cy="33337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75</xdr:row>
      <xdr:rowOff>142876</xdr:rowOff>
    </xdr:from>
    <xdr:to>
      <xdr:col>7</xdr:col>
      <xdr:colOff>304801</xdr:colOff>
      <xdr:row>76</xdr:row>
      <xdr:rowOff>0</xdr:rowOff>
    </xdr:to>
    <xdr:sp macro="" textlink="">
      <xdr:nvSpPr>
        <xdr:cNvPr id="5" name="วงรี 4"/>
        <xdr:cNvSpPr/>
      </xdr:nvSpPr>
      <xdr:spPr>
        <a:xfrm>
          <a:off x="3019425" y="19030951"/>
          <a:ext cx="1600201" cy="34289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466726</xdr:colOff>
      <xdr:row>74</xdr:row>
      <xdr:rowOff>323850</xdr:rowOff>
    </xdr:from>
    <xdr:to>
      <xdr:col>8</xdr:col>
      <xdr:colOff>133351</xdr:colOff>
      <xdr:row>74</xdr:row>
      <xdr:rowOff>325438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4781551" y="18726150"/>
          <a:ext cx="885825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447676</xdr:colOff>
      <xdr:row>75</xdr:row>
      <xdr:rowOff>295275</xdr:rowOff>
    </xdr:from>
    <xdr:to>
      <xdr:col>8</xdr:col>
      <xdr:colOff>152401</xdr:colOff>
      <xdr:row>75</xdr:row>
      <xdr:rowOff>295277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4762501" y="19183350"/>
          <a:ext cx="923925" cy="2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82</xdr:row>
      <xdr:rowOff>0</xdr:rowOff>
    </xdr:from>
    <xdr:to>
      <xdr:col>2</xdr:col>
      <xdr:colOff>257176</xdr:colOff>
      <xdr:row>83</xdr:row>
      <xdr:rowOff>19049</xdr:rowOff>
    </xdr:to>
    <xdr:sp macro="" textlink="">
      <xdr:nvSpPr>
        <xdr:cNvPr id="8" name="วงรี 7"/>
        <xdr:cNvSpPr/>
      </xdr:nvSpPr>
      <xdr:spPr>
        <a:xfrm>
          <a:off x="342900" y="21669375"/>
          <a:ext cx="1466851" cy="3619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114300</xdr:colOff>
      <xdr:row>91</xdr:row>
      <xdr:rowOff>333375</xdr:rowOff>
    </xdr:from>
    <xdr:to>
      <xdr:col>4</xdr:col>
      <xdr:colOff>142876</xdr:colOff>
      <xdr:row>93</xdr:row>
      <xdr:rowOff>0</xdr:rowOff>
    </xdr:to>
    <xdr:sp macro="" textlink="">
      <xdr:nvSpPr>
        <xdr:cNvPr id="9" name="วงรี 8"/>
        <xdr:cNvSpPr/>
      </xdr:nvSpPr>
      <xdr:spPr>
        <a:xfrm>
          <a:off x="1666875" y="25088850"/>
          <a:ext cx="146685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99</xdr:row>
      <xdr:rowOff>304801</xdr:rowOff>
    </xdr:from>
    <xdr:to>
      <xdr:col>2</xdr:col>
      <xdr:colOff>295276</xdr:colOff>
      <xdr:row>100</xdr:row>
      <xdr:rowOff>314326</xdr:rowOff>
    </xdr:to>
    <xdr:sp macro="" textlink="">
      <xdr:nvSpPr>
        <xdr:cNvPr id="10" name="วงรี 9"/>
        <xdr:cNvSpPr/>
      </xdr:nvSpPr>
      <xdr:spPr>
        <a:xfrm>
          <a:off x="381000" y="27774901"/>
          <a:ext cx="1466851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152400</xdr:colOff>
      <xdr:row>110</xdr:row>
      <xdr:rowOff>19050</xdr:rowOff>
    </xdr:from>
    <xdr:to>
      <xdr:col>4</xdr:col>
      <xdr:colOff>180976</xdr:colOff>
      <xdr:row>111</xdr:row>
      <xdr:rowOff>19050</xdr:rowOff>
    </xdr:to>
    <xdr:sp macro="" textlink="">
      <xdr:nvSpPr>
        <xdr:cNvPr id="11" name="วงรี 10"/>
        <xdr:cNvSpPr/>
      </xdr:nvSpPr>
      <xdr:spPr>
        <a:xfrm>
          <a:off x="1704975" y="31232475"/>
          <a:ext cx="1466851" cy="3429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</xdr:col>
      <xdr:colOff>942975</xdr:colOff>
      <xdr:row>148</xdr:row>
      <xdr:rowOff>9525</xdr:rowOff>
    </xdr:from>
    <xdr:to>
      <xdr:col>7</xdr:col>
      <xdr:colOff>666750</xdr:colOff>
      <xdr:row>165</xdr:row>
      <xdr:rowOff>228600</xdr:rowOff>
    </xdr:to>
    <xdr:pic>
      <xdr:nvPicPr>
        <xdr:cNvPr id="12" name="รูปภาพ 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" y="44577000"/>
          <a:ext cx="3838575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1009650</xdr:colOff>
      <xdr:row>153</xdr:row>
      <xdr:rowOff>0</xdr:rowOff>
    </xdr:from>
    <xdr:to>
      <xdr:col>2</xdr:col>
      <xdr:colOff>1181101</xdr:colOff>
      <xdr:row>154</xdr:row>
      <xdr:rowOff>9524</xdr:rowOff>
    </xdr:to>
    <xdr:sp macro="" textlink="">
      <xdr:nvSpPr>
        <xdr:cNvPr id="13" name="วงรี 12"/>
        <xdr:cNvSpPr/>
      </xdr:nvSpPr>
      <xdr:spPr>
        <a:xfrm>
          <a:off x="1209675" y="45853350"/>
          <a:ext cx="15240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838199</xdr:colOff>
      <xdr:row>164</xdr:row>
      <xdr:rowOff>114300</xdr:rowOff>
    </xdr:from>
    <xdr:to>
      <xdr:col>4</xdr:col>
      <xdr:colOff>504825</xdr:colOff>
      <xdr:row>165</xdr:row>
      <xdr:rowOff>123824</xdr:rowOff>
    </xdr:to>
    <xdr:sp macro="" textlink="">
      <xdr:nvSpPr>
        <xdr:cNvPr id="14" name="วงรี 13"/>
        <xdr:cNvSpPr/>
      </xdr:nvSpPr>
      <xdr:spPr>
        <a:xfrm>
          <a:off x="2390774" y="48796575"/>
          <a:ext cx="11049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200025</xdr:colOff>
      <xdr:row>122</xdr:row>
      <xdr:rowOff>66675</xdr:rowOff>
    </xdr:from>
    <xdr:to>
      <xdr:col>4</xdr:col>
      <xdr:colOff>247650</xdr:colOff>
      <xdr:row>123</xdr:row>
      <xdr:rowOff>28576</xdr:rowOff>
    </xdr:to>
    <xdr:sp macro="" textlink="">
      <xdr:nvSpPr>
        <xdr:cNvPr id="15" name="วงรี 14"/>
        <xdr:cNvSpPr/>
      </xdr:nvSpPr>
      <xdr:spPr>
        <a:xfrm>
          <a:off x="400050" y="35309175"/>
          <a:ext cx="2838450" cy="29527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123</xdr:row>
      <xdr:rowOff>85726</xdr:rowOff>
    </xdr:from>
    <xdr:to>
      <xdr:col>4</xdr:col>
      <xdr:colOff>238125</xdr:colOff>
      <xdr:row>124</xdr:row>
      <xdr:rowOff>38100</xdr:rowOff>
    </xdr:to>
    <xdr:sp macro="" textlink="">
      <xdr:nvSpPr>
        <xdr:cNvPr id="16" name="วงรี 15"/>
        <xdr:cNvSpPr/>
      </xdr:nvSpPr>
      <xdr:spPr>
        <a:xfrm>
          <a:off x="381000" y="35661601"/>
          <a:ext cx="2847975" cy="2857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333376</xdr:colOff>
      <xdr:row>122</xdr:row>
      <xdr:rowOff>57150</xdr:rowOff>
    </xdr:from>
    <xdr:to>
      <xdr:col>9</xdr:col>
      <xdr:colOff>200025</xdr:colOff>
      <xdr:row>123</xdr:row>
      <xdr:rowOff>9525</xdr:rowOff>
    </xdr:to>
    <xdr:sp macro="" textlink="">
      <xdr:nvSpPr>
        <xdr:cNvPr id="17" name="วงรี 16"/>
        <xdr:cNvSpPr/>
      </xdr:nvSpPr>
      <xdr:spPr>
        <a:xfrm>
          <a:off x="4648201" y="35299650"/>
          <a:ext cx="1295399" cy="2857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352426</xdr:colOff>
      <xdr:row>123</xdr:row>
      <xdr:rowOff>95250</xdr:rowOff>
    </xdr:from>
    <xdr:to>
      <xdr:col>9</xdr:col>
      <xdr:colOff>209550</xdr:colOff>
      <xdr:row>124</xdr:row>
      <xdr:rowOff>28575</xdr:rowOff>
    </xdr:to>
    <xdr:sp macro="" textlink="">
      <xdr:nvSpPr>
        <xdr:cNvPr id="18" name="วงรี 17"/>
        <xdr:cNvSpPr/>
      </xdr:nvSpPr>
      <xdr:spPr>
        <a:xfrm>
          <a:off x="4667251" y="35671125"/>
          <a:ext cx="1285874" cy="2667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122</xdr:row>
      <xdr:rowOff>95250</xdr:rowOff>
    </xdr:from>
    <xdr:to>
      <xdr:col>7</xdr:col>
      <xdr:colOff>180975</xdr:colOff>
      <xdr:row>122</xdr:row>
      <xdr:rowOff>314325</xdr:rowOff>
    </xdr:to>
    <xdr:sp macro="" textlink="">
      <xdr:nvSpPr>
        <xdr:cNvPr id="19" name="วงรี 18"/>
        <xdr:cNvSpPr/>
      </xdr:nvSpPr>
      <xdr:spPr>
        <a:xfrm>
          <a:off x="3686175" y="35337750"/>
          <a:ext cx="809625" cy="2190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714375</xdr:colOff>
      <xdr:row>123</xdr:row>
      <xdr:rowOff>114300</xdr:rowOff>
    </xdr:from>
    <xdr:to>
      <xdr:col>7</xdr:col>
      <xdr:colOff>200025</xdr:colOff>
      <xdr:row>123</xdr:row>
      <xdr:rowOff>323850</xdr:rowOff>
    </xdr:to>
    <xdr:sp macro="" textlink="">
      <xdr:nvSpPr>
        <xdr:cNvPr id="20" name="วงรี 19"/>
        <xdr:cNvSpPr/>
      </xdr:nvSpPr>
      <xdr:spPr>
        <a:xfrm>
          <a:off x="3705225" y="35690175"/>
          <a:ext cx="809625" cy="2095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657225</xdr:colOff>
      <xdr:row>92</xdr:row>
      <xdr:rowOff>0</xdr:rowOff>
    </xdr:from>
    <xdr:to>
      <xdr:col>7</xdr:col>
      <xdr:colOff>142876</xdr:colOff>
      <xdr:row>93</xdr:row>
      <xdr:rowOff>9525</xdr:rowOff>
    </xdr:to>
    <xdr:sp macro="" textlink="">
      <xdr:nvSpPr>
        <xdr:cNvPr id="21" name="วงรี 20"/>
        <xdr:cNvSpPr/>
      </xdr:nvSpPr>
      <xdr:spPr>
        <a:xfrm>
          <a:off x="3648075" y="25098375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742950</xdr:colOff>
      <xdr:row>82</xdr:row>
      <xdr:rowOff>0</xdr:rowOff>
    </xdr:from>
    <xdr:to>
      <xdr:col>7</xdr:col>
      <xdr:colOff>142876</xdr:colOff>
      <xdr:row>83</xdr:row>
      <xdr:rowOff>9525</xdr:rowOff>
    </xdr:to>
    <xdr:sp macro="" textlink="">
      <xdr:nvSpPr>
        <xdr:cNvPr id="22" name="วงรี 21"/>
        <xdr:cNvSpPr/>
      </xdr:nvSpPr>
      <xdr:spPr>
        <a:xfrm>
          <a:off x="3733800" y="21669375"/>
          <a:ext cx="72390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733425</xdr:colOff>
      <xdr:row>100</xdr:row>
      <xdr:rowOff>0</xdr:rowOff>
    </xdr:from>
    <xdr:to>
      <xdr:col>7</xdr:col>
      <xdr:colOff>219076</xdr:colOff>
      <xdr:row>101</xdr:row>
      <xdr:rowOff>9525</xdr:rowOff>
    </xdr:to>
    <xdr:sp macro="" textlink="">
      <xdr:nvSpPr>
        <xdr:cNvPr id="23" name="วงรี 22"/>
        <xdr:cNvSpPr/>
      </xdr:nvSpPr>
      <xdr:spPr>
        <a:xfrm>
          <a:off x="3724275" y="27784425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109</xdr:row>
      <xdr:rowOff>333375</xdr:rowOff>
    </xdr:from>
    <xdr:to>
      <xdr:col>7</xdr:col>
      <xdr:colOff>180976</xdr:colOff>
      <xdr:row>111</xdr:row>
      <xdr:rowOff>0</xdr:rowOff>
    </xdr:to>
    <xdr:sp macro="" textlink="">
      <xdr:nvSpPr>
        <xdr:cNvPr id="24" name="วงรี 23"/>
        <xdr:cNvSpPr/>
      </xdr:nvSpPr>
      <xdr:spPr>
        <a:xfrm>
          <a:off x="3686175" y="31203900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87</xdr:row>
      <xdr:rowOff>161925</xdr:rowOff>
    </xdr:from>
    <xdr:to>
      <xdr:col>4</xdr:col>
      <xdr:colOff>190500</xdr:colOff>
      <xdr:row>88</xdr:row>
      <xdr:rowOff>28575</xdr:rowOff>
    </xdr:to>
    <xdr:sp macro="" textlink="">
      <xdr:nvSpPr>
        <xdr:cNvPr id="2" name="วงรี 1"/>
        <xdr:cNvSpPr/>
      </xdr:nvSpPr>
      <xdr:spPr>
        <a:xfrm>
          <a:off x="1714499" y="18564225"/>
          <a:ext cx="1466851" cy="35242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133349</xdr:colOff>
      <xdr:row>88</xdr:row>
      <xdr:rowOff>152399</xdr:rowOff>
    </xdr:from>
    <xdr:to>
      <xdr:col>4</xdr:col>
      <xdr:colOff>161925</xdr:colOff>
      <xdr:row>88</xdr:row>
      <xdr:rowOff>485774</xdr:rowOff>
    </xdr:to>
    <xdr:sp macro="" textlink="">
      <xdr:nvSpPr>
        <xdr:cNvPr id="3" name="วงรี 2"/>
        <xdr:cNvSpPr/>
      </xdr:nvSpPr>
      <xdr:spPr>
        <a:xfrm>
          <a:off x="1685924" y="19040474"/>
          <a:ext cx="1466851" cy="3333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66675</xdr:colOff>
      <xdr:row>87</xdr:row>
      <xdr:rowOff>161924</xdr:rowOff>
    </xdr:from>
    <xdr:to>
      <xdr:col>7</xdr:col>
      <xdr:colOff>342901</xdr:colOff>
      <xdr:row>88</xdr:row>
      <xdr:rowOff>9524</xdr:rowOff>
    </xdr:to>
    <xdr:sp macro="" textlink="">
      <xdr:nvSpPr>
        <xdr:cNvPr id="4" name="วงรี 3"/>
        <xdr:cNvSpPr/>
      </xdr:nvSpPr>
      <xdr:spPr>
        <a:xfrm>
          <a:off x="3057525" y="18564224"/>
          <a:ext cx="1600201" cy="333375"/>
        </a:xfrm>
        <a:prstGeom prst="ellipse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28575</xdr:colOff>
      <xdr:row>88</xdr:row>
      <xdr:rowOff>142876</xdr:rowOff>
    </xdr:from>
    <xdr:to>
      <xdr:col>7</xdr:col>
      <xdr:colOff>304801</xdr:colOff>
      <xdr:row>89</xdr:row>
      <xdr:rowOff>0</xdr:rowOff>
    </xdr:to>
    <xdr:sp macro="" textlink="">
      <xdr:nvSpPr>
        <xdr:cNvPr id="5" name="วงรี 4"/>
        <xdr:cNvSpPr/>
      </xdr:nvSpPr>
      <xdr:spPr>
        <a:xfrm>
          <a:off x="3019425" y="19030951"/>
          <a:ext cx="1600201" cy="34289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466726</xdr:colOff>
      <xdr:row>87</xdr:row>
      <xdr:rowOff>323850</xdr:rowOff>
    </xdr:from>
    <xdr:to>
      <xdr:col>8</xdr:col>
      <xdr:colOff>133351</xdr:colOff>
      <xdr:row>87</xdr:row>
      <xdr:rowOff>325438</xdr:rowOff>
    </xdr:to>
    <xdr:cxnSp macro="">
      <xdr:nvCxnSpPr>
        <xdr:cNvPr id="6" name="ลูกศรเชื่อมต่อแบบตรง 5"/>
        <xdr:cNvCxnSpPr/>
      </xdr:nvCxnSpPr>
      <xdr:spPr>
        <a:xfrm rot="10800000">
          <a:off x="4781551" y="18726150"/>
          <a:ext cx="885825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447676</xdr:colOff>
      <xdr:row>88</xdr:row>
      <xdr:rowOff>295275</xdr:rowOff>
    </xdr:from>
    <xdr:to>
      <xdr:col>8</xdr:col>
      <xdr:colOff>152401</xdr:colOff>
      <xdr:row>88</xdr:row>
      <xdr:rowOff>295277</xdr:rowOff>
    </xdr:to>
    <xdr:cxnSp macro="">
      <xdr:nvCxnSpPr>
        <xdr:cNvPr id="7" name="ลูกศรเชื่อมต่อแบบตรง 6"/>
        <xdr:cNvCxnSpPr/>
      </xdr:nvCxnSpPr>
      <xdr:spPr>
        <a:xfrm rot="10800000">
          <a:off x="4762501" y="19183350"/>
          <a:ext cx="923925" cy="2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95</xdr:row>
      <xdr:rowOff>0</xdr:rowOff>
    </xdr:from>
    <xdr:to>
      <xdr:col>2</xdr:col>
      <xdr:colOff>257176</xdr:colOff>
      <xdr:row>96</xdr:row>
      <xdr:rowOff>19049</xdr:rowOff>
    </xdr:to>
    <xdr:sp macro="" textlink="">
      <xdr:nvSpPr>
        <xdr:cNvPr id="8" name="วงรี 7"/>
        <xdr:cNvSpPr/>
      </xdr:nvSpPr>
      <xdr:spPr>
        <a:xfrm>
          <a:off x="342900" y="21669375"/>
          <a:ext cx="1466851" cy="3619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114300</xdr:colOff>
      <xdr:row>104</xdr:row>
      <xdr:rowOff>333375</xdr:rowOff>
    </xdr:from>
    <xdr:to>
      <xdr:col>4</xdr:col>
      <xdr:colOff>142876</xdr:colOff>
      <xdr:row>106</xdr:row>
      <xdr:rowOff>0</xdr:rowOff>
    </xdr:to>
    <xdr:sp macro="" textlink="">
      <xdr:nvSpPr>
        <xdr:cNvPr id="9" name="วงรี 8"/>
        <xdr:cNvSpPr/>
      </xdr:nvSpPr>
      <xdr:spPr>
        <a:xfrm>
          <a:off x="1666875" y="25088850"/>
          <a:ext cx="146685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112</xdr:row>
      <xdr:rowOff>304801</xdr:rowOff>
    </xdr:from>
    <xdr:to>
      <xdr:col>2</xdr:col>
      <xdr:colOff>295276</xdr:colOff>
      <xdr:row>113</xdr:row>
      <xdr:rowOff>314326</xdr:rowOff>
    </xdr:to>
    <xdr:sp macro="" textlink="">
      <xdr:nvSpPr>
        <xdr:cNvPr id="10" name="วงรี 9"/>
        <xdr:cNvSpPr/>
      </xdr:nvSpPr>
      <xdr:spPr>
        <a:xfrm>
          <a:off x="381000" y="27774901"/>
          <a:ext cx="1466851" cy="3238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152400</xdr:colOff>
      <xdr:row>123</xdr:row>
      <xdr:rowOff>19050</xdr:rowOff>
    </xdr:from>
    <xdr:to>
      <xdr:col>4</xdr:col>
      <xdr:colOff>180976</xdr:colOff>
      <xdr:row>124</xdr:row>
      <xdr:rowOff>19050</xdr:rowOff>
    </xdr:to>
    <xdr:sp macro="" textlink="">
      <xdr:nvSpPr>
        <xdr:cNvPr id="11" name="วงรี 10"/>
        <xdr:cNvSpPr/>
      </xdr:nvSpPr>
      <xdr:spPr>
        <a:xfrm>
          <a:off x="1704975" y="31232475"/>
          <a:ext cx="1466851" cy="3429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</xdr:col>
      <xdr:colOff>942975</xdr:colOff>
      <xdr:row>161</xdr:row>
      <xdr:rowOff>9525</xdr:rowOff>
    </xdr:from>
    <xdr:to>
      <xdr:col>7</xdr:col>
      <xdr:colOff>666750</xdr:colOff>
      <xdr:row>178</xdr:row>
      <xdr:rowOff>228600</xdr:rowOff>
    </xdr:to>
    <xdr:pic>
      <xdr:nvPicPr>
        <xdr:cNvPr id="12" name="รูปภาพ 1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" y="44577000"/>
          <a:ext cx="3838575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1009650</xdr:colOff>
      <xdr:row>166</xdr:row>
      <xdr:rowOff>0</xdr:rowOff>
    </xdr:from>
    <xdr:to>
      <xdr:col>2</xdr:col>
      <xdr:colOff>1181101</xdr:colOff>
      <xdr:row>167</xdr:row>
      <xdr:rowOff>9524</xdr:rowOff>
    </xdr:to>
    <xdr:sp macro="" textlink="">
      <xdr:nvSpPr>
        <xdr:cNvPr id="13" name="วงรี 12"/>
        <xdr:cNvSpPr/>
      </xdr:nvSpPr>
      <xdr:spPr>
        <a:xfrm>
          <a:off x="1209675" y="45853350"/>
          <a:ext cx="15240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838199</xdr:colOff>
      <xdr:row>177</xdr:row>
      <xdr:rowOff>114300</xdr:rowOff>
    </xdr:from>
    <xdr:to>
      <xdr:col>4</xdr:col>
      <xdr:colOff>504825</xdr:colOff>
      <xdr:row>178</xdr:row>
      <xdr:rowOff>123824</xdr:rowOff>
    </xdr:to>
    <xdr:sp macro="" textlink="">
      <xdr:nvSpPr>
        <xdr:cNvPr id="14" name="วงรี 13"/>
        <xdr:cNvSpPr/>
      </xdr:nvSpPr>
      <xdr:spPr>
        <a:xfrm>
          <a:off x="2390774" y="48796575"/>
          <a:ext cx="1104901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200025</xdr:colOff>
      <xdr:row>135</xdr:row>
      <xdr:rowOff>66675</xdr:rowOff>
    </xdr:from>
    <xdr:to>
      <xdr:col>4</xdr:col>
      <xdr:colOff>247650</xdr:colOff>
      <xdr:row>136</xdr:row>
      <xdr:rowOff>28576</xdr:rowOff>
    </xdr:to>
    <xdr:sp macro="" textlink="">
      <xdr:nvSpPr>
        <xdr:cNvPr id="15" name="วงรี 14"/>
        <xdr:cNvSpPr/>
      </xdr:nvSpPr>
      <xdr:spPr>
        <a:xfrm>
          <a:off x="400050" y="35309175"/>
          <a:ext cx="2838450" cy="29527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180975</xdr:colOff>
      <xdr:row>136</xdr:row>
      <xdr:rowOff>85726</xdr:rowOff>
    </xdr:from>
    <xdr:to>
      <xdr:col>4</xdr:col>
      <xdr:colOff>238125</xdr:colOff>
      <xdr:row>137</xdr:row>
      <xdr:rowOff>38100</xdr:rowOff>
    </xdr:to>
    <xdr:sp macro="" textlink="">
      <xdr:nvSpPr>
        <xdr:cNvPr id="16" name="วงรี 15"/>
        <xdr:cNvSpPr/>
      </xdr:nvSpPr>
      <xdr:spPr>
        <a:xfrm>
          <a:off x="381000" y="35661601"/>
          <a:ext cx="2847975" cy="285749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333376</xdr:colOff>
      <xdr:row>135</xdr:row>
      <xdr:rowOff>57150</xdr:rowOff>
    </xdr:from>
    <xdr:to>
      <xdr:col>9</xdr:col>
      <xdr:colOff>200025</xdr:colOff>
      <xdr:row>136</xdr:row>
      <xdr:rowOff>9525</xdr:rowOff>
    </xdr:to>
    <xdr:sp macro="" textlink="">
      <xdr:nvSpPr>
        <xdr:cNvPr id="17" name="วงรี 16"/>
        <xdr:cNvSpPr/>
      </xdr:nvSpPr>
      <xdr:spPr>
        <a:xfrm>
          <a:off x="4648201" y="35299650"/>
          <a:ext cx="1295399" cy="2857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352426</xdr:colOff>
      <xdr:row>136</xdr:row>
      <xdr:rowOff>95250</xdr:rowOff>
    </xdr:from>
    <xdr:to>
      <xdr:col>9</xdr:col>
      <xdr:colOff>209550</xdr:colOff>
      <xdr:row>137</xdr:row>
      <xdr:rowOff>28575</xdr:rowOff>
    </xdr:to>
    <xdr:sp macro="" textlink="">
      <xdr:nvSpPr>
        <xdr:cNvPr id="18" name="วงรี 17"/>
        <xdr:cNvSpPr/>
      </xdr:nvSpPr>
      <xdr:spPr>
        <a:xfrm>
          <a:off x="4667251" y="35671125"/>
          <a:ext cx="1285874" cy="2667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135</xdr:row>
      <xdr:rowOff>95250</xdr:rowOff>
    </xdr:from>
    <xdr:to>
      <xdr:col>7</xdr:col>
      <xdr:colOff>180975</xdr:colOff>
      <xdr:row>135</xdr:row>
      <xdr:rowOff>314325</xdr:rowOff>
    </xdr:to>
    <xdr:sp macro="" textlink="">
      <xdr:nvSpPr>
        <xdr:cNvPr id="19" name="วงรี 18"/>
        <xdr:cNvSpPr/>
      </xdr:nvSpPr>
      <xdr:spPr>
        <a:xfrm>
          <a:off x="3686175" y="35337750"/>
          <a:ext cx="809625" cy="2190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714375</xdr:colOff>
      <xdr:row>136</xdr:row>
      <xdr:rowOff>114300</xdr:rowOff>
    </xdr:from>
    <xdr:to>
      <xdr:col>7</xdr:col>
      <xdr:colOff>200025</xdr:colOff>
      <xdr:row>136</xdr:row>
      <xdr:rowOff>323850</xdr:rowOff>
    </xdr:to>
    <xdr:sp macro="" textlink="">
      <xdr:nvSpPr>
        <xdr:cNvPr id="20" name="วงรี 19"/>
        <xdr:cNvSpPr/>
      </xdr:nvSpPr>
      <xdr:spPr>
        <a:xfrm>
          <a:off x="3705225" y="35690175"/>
          <a:ext cx="809625" cy="20955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657225</xdr:colOff>
      <xdr:row>105</xdr:row>
      <xdr:rowOff>0</xdr:rowOff>
    </xdr:from>
    <xdr:to>
      <xdr:col>7</xdr:col>
      <xdr:colOff>142876</xdr:colOff>
      <xdr:row>106</xdr:row>
      <xdr:rowOff>9525</xdr:rowOff>
    </xdr:to>
    <xdr:sp macro="" textlink="">
      <xdr:nvSpPr>
        <xdr:cNvPr id="21" name="วงรี 20"/>
        <xdr:cNvSpPr/>
      </xdr:nvSpPr>
      <xdr:spPr>
        <a:xfrm>
          <a:off x="3648075" y="25098375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742950</xdr:colOff>
      <xdr:row>95</xdr:row>
      <xdr:rowOff>0</xdr:rowOff>
    </xdr:from>
    <xdr:to>
      <xdr:col>7</xdr:col>
      <xdr:colOff>142876</xdr:colOff>
      <xdr:row>96</xdr:row>
      <xdr:rowOff>9525</xdr:rowOff>
    </xdr:to>
    <xdr:sp macro="" textlink="">
      <xdr:nvSpPr>
        <xdr:cNvPr id="22" name="วงรี 21"/>
        <xdr:cNvSpPr/>
      </xdr:nvSpPr>
      <xdr:spPr>
        <a:xfrm>
          <a:off x="3733800" y="21669375"/>
          <a:ext cx="723901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733425</xdr:colOff>
      <xdr:row>113</xdr:row>
      <xdr:rowOff>0</xdr:rowOff>
    </xdr:from>
    <xdr:to>
      <xdr:col>7</xdr:col>
      <xdr:colOff>219076</xdr:colOff>
      <xdr:row>114</xdr:row>
      <xdr:rowOff>9525</xdr:rowOff>
    </xdr:to>
    <xdr:sp macro="" textlink="">
      <xdr:nvSpPr>
        <xdr:cNvPr id="23" name="วงรี 22"/>
        <xdr:cNvSpPr/>
      </xdr:nvSpPr>
      <xdr:spPr>
        <a:xfrm>
          <a:off x="3724275" y="27784425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695325</xdr:colOff>
      <xdr:row>122</xdr:row>
      <xdr:rowOff>333375</xdr:rowOff>
    </xdr:from>
    <xdr:to>
      <xdr:col>7</xdr:col>
      <xdr:colOff>180976</xdr:colOff>
      <xdr:row>124</xdr:row>
      <xdr:rowOff>0</xdr:rowOff>
    </xdr:to>
    <xdr:sp macro="" textlink="">
      <xdr:nvSpPr>
        <xdr:cNvPr id="24" name="วงรี 23"/>
        <xdr:cNvSpPr/>
      </xdr:nvSpPr>
      <xdr:spPr>
        <a:xfrm>
          <a:off x="3686175" y="31203900"/>
          <a:ext cx="809626" cy="35242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296439</xdr:colOff>
      <xdr:row>4</xdr:row>
      <xdr:rowOff>9525</xdr:rowOff>
    </xdr:from>
    <xdr:ext cx="1133475" cy="262572"/>
    <xdr:sp macro="" textlink="">
      <xdr:nvSpPr>
        <xdr:cNvPr id="2" name="TextBox 1"/>
        <xdr:cNvSpPr txBox="1"/>
      </xdr:nvSpPr>
      <xdr:spPr>
        <a:xfrm>
          <a:off x="296439" y="1466850"/>
          <a:ext cx="1133475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เงินเดือนปัจจุบัน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144"/>
  <sheetViews>
    <sheetView showGridLines="0" showRowColHeaders="0" workbookViewId="0">
      <selection activeCell="H5" sqref="H5:P6"/>
    </sheetView>
  </sheetViews>
  <sheetFormatPr defaultRowHeight="20.25" customHeight="1" x14ac:dyDescent="0.2"/>
  <cols>
    <col min="1" max="1" width="17.75" style="1" customWidth="1"/>
    <col min="2" max="2" width="19.625" style="1" customWidth="1"/>
    <col min="3" max="3" width="13.625" style="1" hidden="1" customWidth="1"/>
    <col min="4" max="4" width="16.375" style="1" customWidth="1"/>
    <col min="5" max="5" width="13.625" style="1" hidden="1" customWidth="1"/>
    <col min="6" max="6" width="10.625" style="1" hidden="1" customWidth="1"/>
    <col min="7" max="7" width="15.625" style="1" customWidth="1"/>
    <col min="8" max="8" width="2.625" style="1" customWidth="1"/>
    <col min="9" max="9" width="13.25" style="1" customWidth="1"/>
    <col min="10" max="10" width="14" style="1" hidden="1" customWidth="1"/>
    <col min="11" max="11" width="3.75" style="8" customWidth="1"/>
    <col min="12" max="12" width="14.5" style="1" customWidth="1"/>
    <col min="13" max="13" width="14.875" style="1" hidden="1" customWidth="1"/>
    <col min="14" max="15" width="13" style="1" hidden="1" customWidth="1"/>
    <col min="16" max="16" width="18.125" style="1" customWidth="1"/>
    <col min="17" max="17" width="10.625" style="1" hidden="1" customWidth="1"/>
    <col min="18" max="18" width="12.125" style="1" hidden="1" customWidth="1"/>
    <col min="19" max="19" width="6.375" style="1" hidden="1" customWidth="1"/>
    <col min="20" max="20" width="5.875" style="1" hidden="1" customWidth="1"/>
    <col min="21" max="21" width="2.375" style="8" customWidth="1"/>
    <col min="22" max="22" width="17.25" style="1" customWidth="1"/>
    <col min="23" max="26" width="9" style="1"/>
    <col min="27" max="27" width="12.25" style="1" customWidth="1"/>
    <col min="28" max="16384" width="9" style="1"/>
  </cols>
  <sheetData>
    <row r="1" spans="1:21" ht="20.25" customHeight="1" x14ac:dyDescent="0.25">
      <c r="A1" s="482" t="s">
        <v>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21" customHeight="1" x14ac:dyDescent="0.2">
      <c r="A2" s="483" t="s">
        <v>1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</row>
    <row r="3" spans="1:21" ht="28.5" customHeight="1" x14ac:dyDescent="0.2">
      <c r="A3" s="484" t="s">
        <v>229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6"/>
      <c r="Q3" s="2"/>
      <c r="R3" s="2"/>
      <c r="S3" s="2"/>
      <c r="T3" s="2"/>
      <c r="U3" s="3"/>
    </row>
    <row r="4" spans="1:21" ht="3" customHeight="1" x14ac:dyDescent="0.2">
      <c r="A4" s="487"/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</row>
    <row r="5" spans="1:21" ht="31.5" customHeight="1" x14ac:dyDescent="0.2">
      <c r="A5" s="488" t="s">
        <v>2</v>
      </c>
      <c r="B5" s="489"/>
      <c r="C5" s="4"/>
      <c r="D5" s="5" t="s">
        <v>3</v>
      </c>
      <c r="E5" s="6"/>
      <c r="F5" s="6"/>
      <c r="G5" s="5" t="s">
        <v>4</v>
      </c>
      <c r="H5" s="490" t="s">
        <v>5</v>
      </c>
      <c r="I5" s="491"/>
      <c r="J5" s="491"/>
      <c r="K5" s="491"/>
      <c r="L5" s="491"/>
      <c r="M5" s="491"/>
      <c r="N5" s="491"/>
      <c r="O5" s="491"/>
      <c r="P5" s="492"/>
      <c r="Q5" s="7"/>
      <c r="R5" s="7"/>
      <c r="S5" s="7"/>
    </row>
    <row r="6" spans="1:21" ht="22.5" customHeight="1" x14ac:dyDescent="0.2">
      <c r="A6" s="496"/>
      <c r="B6" s="497"/>
      <c r="C6" s="9"/>
      <c r="D6" s="10">
        <v>29042</v>
      </c>
      <c r="E6" s="10"/>
      <c r="F6" s="10"/>
      <c r="G6" s="10">
        <v>44470</v>
      </c>
      <c r="H6" s="493"/>
      <c r="I6" s="494"/>
      <c r="J6" s="494"/>
      <c r="K6" s="494"/>
      <c r="L6" s="494"/>
      <c r="M6" s="494"/>
      <c r="N6" s="494"/>
      <c r="O6" s="494"/>
      <c r="P6" s="495"/>
      <c r="Q6" s="11"/>
      <c r="R6" s="11"/>
      <c r="S6" s="11"/>
    </row>
    <row r="7" spans="1:21" ht="19.5" customHeight="1" x14ac:dyDescent="0.2">
      <c r="A7" s="498" t="s">
        <v>5</v>
      </c>
      <c r="B7" s="499"/>
      <c r="C7" s="12"/>
      <c r="D7" s="6" t="s">
        <v>6</v>
      </c>
      <c r="E7" s="6"/>
      <c r="F7" s="6"/>
      <c r="G7" s="6" t="s">
        <v>7</v>
      </c>
      <c r="H7" s="13"/>
      <c r="I7" s="14" t="s">
        <v>8</v>
      </c>
      <c r="J7" s="15"/>
      <c r="K7" s="16"/>
      <c r="L7" s="14" t="s">
        <v>9</v>
      </c>
      <c r="M7" s="15"/>
      <c r="N7" s="15"/>
      <c r="O7" s="15"/>
      <c r="P7" s="15" t="s">
        <v>10</v>
      </c>
      <c r="Q7" s="17"/>
      <c r="R7" s="17"/>
      <c r="S7" s="17"/>
    </row>
    <row r="8" spans="1:21" ht="21" customHeight="1" x14ac:dyDescent="0.2">
      <c r="A8" s="500" t="s">
        <v>11</v>
      </c>
      <c r="B8" s="501"/>
      <c r="C8" s="18"/>
      <c r="D8" s="19">
        <f>D6</f>
        <v>29042</v>
      </c>
      <c r="E8" s="20"/>
      <c r="F8" s="20"/>
      <c r="G8" s="21">
        <v>44469</v>
      </c>
      <c r="H8" s="22"/>
      <c r="I8" s="23">
        <f>IF(A8&lt;=0,(0),IF(M8&lt;12,J8,(J8+1)))</f>
        <v>42</v>
      </c>
      <c r="J8" s="24">
        <f>IF(A8&gt;0,DATEDIF(D8,G8,"y"),(0))</f>
        <v>42</v>
      </c>
      <c r="K8" s="25"/>
      <c r="L8" s="26">
        <f>IF(A8&lt;=0,(0),IF((M8=12),0,(M8)))</f>
        <v>2</v>
      </c>
      <c r="M8" s="24">
        <f>IF(A8&lt;=0,(0),IF(T8&lt;29,N8,(N8+1)))</f>
        <v>2</v>
      </c>
      <c r="N8" s="24">
        <f>IF(A8&gt;0,DATEDIF(D8,G8,"ym"),(0))</f>
        <v>2</v>
      </c>
      <c r="O8" s="24"/>
      <c r="P8" s="27">
        <f>IF(D8&lt;=0,(0),IF(Q8&lt;(29),(Q8+1),(0)))</f>
        <v>25</v>
      </c>
      <c r="Q8" s="28">
        <f>R8</f>
        <v>24</v>
      </c>
      <c r="R8" s="29">
        <f>IF(T8&lt;30,S8,(0))</f>
        <v>24</v>
      </c>
      <c r="S8" s="28">
        <f>T8</f>
        <v>24</v>
      </c>
      <c r="T8" s="30">
        <f>IF(A8&gt;0,DATEDIF(D8,G8,"md"),(0))</f>
        <v>24</v>
      </c>
      <c r="U8" s="31"/>
    </row>
    <row r="9" spans="1:21" ht="21" customHeight="1" x14ac:dyDescent="0.2">
      <c r="A9" s="502" t="s">
        <v>12</v>
      </c>
      <c r="B9" s="503"/>
      <c r="C9" s="32"/>
      <c r="D9" s="33"/>
      <c r="E9" s="33"/>
      <c r="F9" s="33"/>
      <c r="G9" s="33"/>
      <c r="H9" s="34"/>
      <c r="I9" s="35"/>
      <c r="J9" s="36">
        <f>IF(A9&gt;0,DATEDIF(D9,G9,"y"),(0))</f>
        <v>0</v>
      </c>
      <c r="K9" s="37"/>
      <c r="L9" s="38"/>
      <c r="M9" s="39">
        <f>L9</f>
        <v>0</v>
      </c>
      <c r="N9" s="39">
        <f>L9</f>
        <v>0</v>
      </c>
      <c r="O9" s="39"/>
      <c r="P9" s="39"/>
      <c r="Q9" s="28">
        <f>R9</f>
        <v>0</v>
      </c>
      <c r="R9" s="29">
        <f>IF(T9&lt;30,S9,(0))</f>
        <v>0</v>
      </c>
      <c r="S9" s="28">
        <f>T9</f>
        <v>0</v>
      </c>
      <c r="T9" s="30">
        <f>IF(A9&gt;0,DATEDIF(D9,G9,"md"),(0))</f>
        <v>0</v>
      </c>
      <c r="U9" s="31"/>
    </row>
    <row r="10" spans="1:21" ht="21" customHeight="1" x14ac:dyDescent="0.2">
      <c r="A10" s="502" t="s">
        <v>13</v>
      </c>
      <c r="B10" s="503"/>
      <c r="C10" s="40"/>
      <c r="D10" s="33"/>
      <c r="E10" s="33"/>
      <c r="F10" s="33"/>
      <c r="G10" s="33"/>
      <c r="H10" s="34"/>
      <c r="I10" s="35"/>
      <c r="J10" s="36">
        <f>IF(A10&gt;0,DATEDIF(D10,G10,"y"),(0))</f>
        <v>0</v>
      </c>
      <c r="K10" s="37"/>
      <c r="L10" s="41">
        <v>2</v>
      </c>
      <c r="M10" s="42">
        <f>L10</f>
        <v>2</v>
      </c>
      <c r="N10" s="42">
        <f>L10</f>
        <v>2</v>
      </c>
      <c r="O10" s="39"/>
      <c r="P10" s="39">
        <v>8</v>
      </c>
      <c r="Q10" s="28">
        <f>R10</f>
        <v>0</v>
      </c>
      <c r="R10" s="29">
        <f>IF(T10&lt;30,S10,(0))</f>
        <v>0</v>
      </c>
      <c r="S10" s="28">
        <f>T10</f>
        <v>0</v>
      </c>
      <c r="T10" s="30">
        <f>IF(A10&gt;0,DATEDIF(D10,G10,"md"),(0))</f>
        <v>0</v>
      </c>
      <c r="U10" s="31"/>
    </row>
    <row r="11" spans="1:21" ht="21" customHeight="1" x14ac:dyDescent="0.2">
      <c r="A11" s="504" t="s">
        <v>14</v>
      </c>
      <c r="B11" s="505"/>
      <c r="C11" s="43"/>
      <c r="D11" s="44">
        <v>33361</v>
      </c>
      <c r="E11" s="44"/>
      <c r="F11" s="44"/>
      <c r="G11" s="44">
        <v>36617</v>
      </c>
      <c r="H11" s="45"/>
      <c r="I11" s="35">
        <f>IF(A11&lt;=0,(0),IF(M11&lt;12,J11,(J11+1)))</f>
        <v>8</v>
      </c>
      <c r="J11" s="46">
        <f>IF(A11&gt;0,DATEDIF(D11,G11,"y"),(0))</f>
        <v>8</v>
      </c>
      <c r="K11" s="47"/>
      <c r="L11" s="48">
        <f>IF(A11&lt;=0,(0),IF((M11=12),0,(M11)))</f>
        <v>11</v>
      </c>
      <c r="M11" s="24">
        <f>IF(A11&lt;=0,(0),IF(T11&lt;29,N11,(N11+1)))</f>
        <v>11</v>
      </c>
      <c r="N11" s="24">
        <f>IF(A11&gt;0,DATEDIF(D11,G11,"ym"),(0))</f>
        <v>10</v>
      </c>
      <c r="O11" s="24"/>
      <c r="P11" s="27">
        <f>IF(D11&lt;=0,(0),IF(Q11&lt;(29),(Q11+1),(0)))</f>
        <v>0</v>
      </c>
      <c r="Q11" s="28">
        <f>R11</f>
        <v>29</v>
      </c>
      <c r="R11" s="29">
        <f>IF(T11&lt;30,S11,(0))</f>
        <v>29</v>
      </c>
      <c r="S11" s="28">
        <f>T11</f>
        <v>29</v>
      </c>
      <c r="T11" s="30">
        <f>IF(A11&gt;0,DATEDIF(D11,G11,"md"),(0))</f>
        <v>29</v>
      </c>
      <c r="U11" s="31"/>
    </row>
    <row r="12" spans="1:21" ht="21" customHeight="1" x14ac:dyDescent="0.2">
      <c r="A12" s="480" t="s">
        <v>15</v>
      </c>
      <c r="B12" s="481"/>
      <c r="C12" s="49"/>
      <c r="D12" s="50"/>
      <c r="E12" s="50"/>
      <c r="F12" s="50"/>
      <c r="G12" s="50"/>
      <c r="H12" s="51"/>
      <c r="I12" s="52"/>
      <c r="J12" s="53">
        <f>I12</f>
        <v>0</v>
      </c>
      <c r="K12" s="54"/>
      <c r="L12" s="52"/>
      <c r="M12" s="53">
        <f>L12</f>
        <v>0</v>
      </c>
      <c r="N12" s="55">
        <f>L12</f>
        <v>0</v>
      </c>
      <c r="O12" s="52"/>
      <c r="P12" s="52"/>
      <c r="Q12" s="56"/>
      <c r="R12" s="57"/>
      <c r="S12" s="56"/>
      <c r="T12" s="58"/>
      <c r="U12" s="31"/>
    </row>
    <row r="13" spans="1:21" ht="24.75" hidden="1" customHeight="1" x14ac:dyDescent="0.2">
      <c r="A13" s="59"/>
      <c r="B13" s="59"/>
      <c r="C13" s="59"/>
      <c r="D13" s="59"/>
      <c r="E13" s="59"/>
      <c r="F13" s="59"/>
      <c r="G13" s="60" t="s">
        <v>16</v>
      </c>
      <c r="H13" s="61"/>
      <c r="I13" s="62">
        <f>SUM(I8:I12)</f>
        <v>50</v>
      </c>
      <c r="J13" s="63">
        <f>SUM(J8:J12)</f>
        <v>50</v>
      </c>
      <c r="K13" s="64"/>
      <c r="L13" s="62">
        <f>SUM(L8:L12)</f>
        <v>15</v>
      </c>
      <c r="M13" s="65">
        <f>SUM(M8:M12)</f>
        <v>15</v>
      </c>
      <c r="N13" s="66">
        <f>SUM(N8:N12)</f>
        <v>14</v>
      </c>
      <c r="O13" s="67"/>
      <c r="P13" s="62">
        <f>SUM(P8:P12)</f>
        <v>33</v>
      </c>
      <c r="Q13" s="62"/>
      <c r="R13" s="62"/>
      <c r="S13" s="62"/>
      <c r="T13" s="62"/>
      <c r="U13" s="68"/>
    </row>
    <row r="14" spans="1:21" ht="24.75" hidden="1" customHeight="1" x14ac:dyDescent="0.2">
      <c r="A14" s="59"/>
      <c r="B14" s="59"/>
      <c r="C14" s="59"/>
      <c r="D14" s="59"/>
      <c r="E14" s="59"/>
      <c r="F14" s="59"/>
      <c r="G14" s="60" t="s">
        <v>16</v>
      </c>
      <c r="H14" s="61"/>
      <c r="I14" s="62">
        <f>IF(L13&gt;12,(I13+1),I13)</f>
        <v>51</v>
      </c>
      <c r="J14" s="63"/>
      <c r="K14" s="64"/>
      <c r="L14" s="62">
        <f>IF(L13&gt;12,(L13-12),L13)</f>
        <v>3</v>
      </c>
      <c r="M14" s="65">
        <f>IF(N14&lt;12,N14,(N14-12))</f>
        <v>4</v>
      </c>
      <c r="N14" s="66">
        <f>IF(P13&lt;30,M13,(M13+1))</f>
        <v>16</v>
      </c>
      <c r="O14" s="67"/>
      <c r="P14" s="62">
        <f>IF(P13&lt;30,P13,(P13-30))</f>
        <v>3</v>
      </c>
      <c r="Q14" s="69"/>
      <c r="R14" s="69"/>
      <c r="S14" s="69"/>
    </row>
    <row r="15" spans="1:21" ht="23.25" customHeight="1" x14ac:dyDescent="0.2">
      <c r="A15" s="451" t="s">
        <v>212</v>
      </c>
      <c r="B15" s="452"/>
      <c r="C15" s="452"/>
      <c r="D15" s="452"/>
      <c r="E15" s="452"/>
      <c r="F15" s="452"/>
      <c r="G15" s="453"/>
      <c r="H15" s="454"/>
      <c r="I15" s="454"/>
      <c r="J15" s="416"/>
      <c r="K15" s="454"/>
      <c r="L15" s="454"/>
      <c r="M15" s="417"/>
      <c r="N15" s="416"/>
      <c r="O15" s="416"/>
      <c r="P15" s="416"/>
      <c r="Q15" s="69"/>
      <c r="R15" s="69"/>
      <c r="S15" s="69"/>
    </row>
    <row r="16" spans="1:21" ht="23.25" customHeight="1" x14ac:dyDescent="0.2">
      <c r="A16" s="70"/>
      <c r="B16" s="71"/>
      <c r="C16" s="71"/>
      <c r="D16" s="71"/>
      <c r="E16" s="71"/>
      <c r="F16" s="71"/>
      <c r="G16" s="415" t="s">
        <v>213</v>
      </c>
      <c r="H16" s="61"/>
      <c r="I16" s="72">
        <f>IF(M16&lt;12,I14,(I14+1))</f>
        <v>51</v>
      </c>
      <c r="J16" s="73"/>
      <c r="K16" s="64"/>
      <c r="L16" s="74">
        <f>IF(M16&lt;12,M16,(M16-12))</f>
        <v>4</v>
      </c>
      <c r="M16" s="75">
        <f>IF(P14&lt;30,M14,((L14+1)+1))</f>
        <v>4</v>
      </c>
      <c r="N16" s="66"/>
      <c r="O16" s="66"/>
      <c r="P16" s="76">
        <f>IF(P14&lt;30,P14,(P14-30))</f>
        <v>3</v>
      </c>
      <c r="Q16" s="69"/>
      <c r="R16" s="69"/>
      <c r="S16" s="69"/>
    </row>
    <row r="17" spans="1:22" ht="26.25" hidden="1" customHeight="1" thickBot="1" x14ac:dyDescent="0.25">
      <c r="A17" s="59"/>
      <c r="B17" s="59"/>
      <c r="C17" s="59"/>
      <c r="D17" s="59"/>
      <c r="E17" s="59"/>
      <c r="F17" s="59"/>
      <c r="G17" s="77" t="s">
        <v>17</v>
      </c>
      <c r="H17" s="78"/>
      <c r="I17" s="79">
        <f>ROUND(I18, 2)</f>
        <v>51.34</v>
      </c>
      <c r="J17" s="59"/>
      <c r="K17" s="80"/>
      <c r="L17" s="81" t="s">
        <v>18</v>
      </c>
      <c r="M17" s="59"/>
      <c r="N17" s="59"/>
      <c r="O17" s="59"/>
      <c r="P17" s="59"/>
      <c r="Q17" s="59"/>
      <c r="R17" s="59"/>
      <c r="S17" s="59"/>
    </row>
    <row r="18" spans="1:22" ht="26.25" hidden="1" customHeight="1" thickTop="1" x14ac:dyDescent="0.25">
      <c r="A18" s="82"/>
      <c r="B18" s="82"/>
      <c r="C18" s="82"/>
      <c r="D18" s="82"/>
      <c r="E18" s="82"/>
      <c r="F18" s="82"/>
      <c r="G18" s="82"/>
      <c r="H18" s="82"/>
      <c r="I18" s="83">
        <f>I16+(L16/12)+(P16/360)</f>
        <v>51.341666666666669</v>
      </c>
      <c r="J18" s="82"/>
      <c r="K18" s="84"/>
      <c r="L18" s="85"/>
      <c r="M18" s="86"/>
      <c r="N18" s="86"/>
      <c r="O18" s="86"/>
      <c r="P18" s="86"/>
      <c r="Q18" s="86"/>
      <c r="R18" s="82"/>
      <c r="S18" s="82"/>
    </row>
    <row r="19" spans="1:22" ht="23.25" customHeight="1" x14ac:dyDescent="0.2">
      <c r="A19" s="82" t="s">
        <v>19</v>
      </c>
      <c r="B19" s="82"/>
      <c r="C19" s="82"/>
      <c r="D19" s="82"/>
      <c r="E19" s="82"/>
      <c r="F19" s="82"/>
      <c r="G19" s="82"/>
      <c r="H19" s="82"/>
      <c r="I19" s="87"/>
      <c r="J19" s="82"/>
      <c r="K19" s="84"/>
      <c r="L19" s="88"/>
      <c r="M19" s="82"/>
      <c r="N19" s="82"/>
      <c r="O19" s="82"/>
      <c r="P19" s="89">
        <f>I17</f>
        <v>51.34</v>
      </c>
      <c r="Q19" s="82"/>
      <c r="R19" s="82"/>
      <c r="S19" s="82"/>
      <c r="U19" s="90" t="s">
        <v>18</v>
      </c>
    </row>
    <row r="20" spans="1:22" ht="23.25" customHeight="1" x14ac:dyDescent="0.2">
      <c r="A20" s="91" t="s">
        <v>20</v>
      </c>
      <c r="B20" s="91"/>
      <c r="C20" s="91"/>
      <c r="D20" s="91"/>
      <c r="E20" s="91"/>
      <c r="F20" s="91"/>
      <c r="G20" s="91"/>
      <c r="H20" s="91"/>
      <c r="I20" s="91"/>
      <c r="J20" s="91"/>
      <c r="K20" s="92"/>
      <c r="L20" s="91"/>
      <c r="M20" s="91"/>
      <c r="N20" s="91"/>
      <c r="O20" s="91"/>
      <c r="P20" s="89">
        <f>ROUND(I17,0)</f>
        <v>51</v>
      </c>
      <c r="Q20" s="91"/>
      <c r="R20" s="91"/>
      <c r="S20" s="91"/>
      <c r="U20" s="90" t="s">
        <v>18</v>
      </c>
    </row>
    <row r="21" spans="1:22" ht="23.25" customHeight="1" x14ac:dyDescent="0.2">
      <c r="A21" s="93" t="s">
        <v>21</v>
      </c>
      <c r="I21" s="94"/>
    </row>
    <row r="22" spans="1:22" ht="20.25" customHeight="1" x14ac:dyDescent="0.2">
      <c r="A22" s="95" t="s">
        <v>22</v>
      </c>
      <c r="B22" s="96"/>
      <c r="C22" s="96"/>
      <c r="D22" s="96"/>
      <c r="E22" s="96"/>
      <c r="F22" s="96"/>
      <c r="G22" s="96"/>
      <c r="H22" s="96"/>
      <c r="I22" s="97"/>
      <c r="J22" s="96"/>
      <c r="K22" s="98"/>
      <c r="L22" s="96"/>
      <c r="M22" s="96"/>
      <c r="N22" s="96"/>
      <c r="O22" s="96"/>
      <c r="P22" s="99"/>
    </row>
    <row r="23" spans="1:22" ht="20.25" customHeight="1" x14ac:dyDescent="0.2">
      <c r="A23" s="100" t="s">
        <v>6</v>
      </c>
      <c r="B23" s="100" t="s">
        <v>7</v>
      </c>
      <c r="C23" s="100"/>
      <c r="D23" s="101" t="s">
        <v>23</v>
      </c>
      <c r="G23" s="474" t="s">
        <v>24</v>
      </c>
      <c r="H23" s="475"/>
      <c r="I23" s="102" t="s">
        <v>25</v>
      </c>
      <c r="J23" s="100"/>
      <c r="K23" s="476" t="s">
        <v>26</v>
      </c>
      <c r="L23" s="477"/>
      <c r="M23" s="100" t="s">
        <v>27</v>
      </c>
      <c r="N23" s="100" t="s">
        <v>27</v>
      </c>
      <c r="O23" s="100"/>
      <c r="P23" s="100" t="s">
        <v>28</v>
      </c>
      <c r="Q23" s="103"/>
      <c r="R23" s="103"/>
      <c r="S23" s="103"/>
      <c r="T23" s="104"/>
      <c r="U23" s="105"/>
      <c r="V23" s="104"/>
    </row>
    <row r="24" spans="1:22" ht="20.25" customHeight="1" x14ac:dyDescent="0.2">
      <c r="A24" s="106">
        <v>42644</v>
      </c>
      <c r="B24" s="106">
        <v>42825</v>
      </c>
      <c r="C24" s="107"/>
      <c r="D24" s="108">
        <f t="shared" ref="D24:D36" si="0">IF(A24&gt;0,MONTH(B24-A24),0)</f>
        <v>6</v>
      </c>
      <c r="G24" s="466">
        <v>30850</v>
      </c>
      <c r="H24" s="467"/>
      <c r="I24" s="109"/>
      <c r="J24" s="110"/>
      <c r="K24" s="478"/>
      <c r="L24" s="479"/>
      <c r="M24" s="111"/>
      <c r="N24" s="111"/>
      <c r="O24" s="111">
        <f t="shared" ref="O24:O36" si="1">(G24+I24+K24)</f>
        <v>30850</v>
      </c>
      <c r="P24" s="111">
        <f t="shared" ref="P24:P36" si="2">(G24-I24+K24)*D24</f>
        <v>185100</v>
      </c>
      <c r="Q24" s="112"/>
      <c r="R24" s="112"/>
      <c r="S24" s="112"/>
      <c r="T24" s="104"/>
      <c r="U24" s="105"/>
      <c r="V24" s="113"/>
    </row>
    <row r="25" spans="1:22" ht="20.25" customHeight="1" x14ac:dyDescent="0.2">
      <c r="A25" s="106">
        <v>42826</v>
      </c>
      <c r="B25" s="106">
        <v>43008</v>
      </c>
      <c r="C25" s="107"/>
      <c r="D25" s="114">
        <f t="shared" si="0"/>
        <v>6</v>
      </c>
      <c r="G25" s="466">
        <v>31930</v>
      </c>
      <c r="H25" s="467"/>
      <c r="I25" s="115"/>
      <c r="J25" s="110"/>
      <c r="K25" s="472"/>
      <c r="L25" s="473"/>
      <c r="M25" s="111"/>
      <c r="N25" s="111"/>
      <c r="O25" s="111">
        <f t="shared" si="1"/>
        <v>31930</v>
      </c>
      <c r="P25" s="111">
        <f t="shared" si="2"/>
        <v>191580</v>
      </c>
      <c r="Q25" s="112"/>
      <c r="R25" s="112"/>
      <c r="S25" s="112"/>
      <c r="T25" s="104"/>
      <c r="U25" s="105"/>
      <c r="V25" s="104"/>
    </row>
    <row r="26" spans="1:22" ht="20.25" customHeight="1" x14ac:dyDescent="0.2">
      <c r="A26" s="106">
        <v>43009</v>
      </c>
      <c r="B26" s="106">
        <v>43190</v>
      </c>
      <c r="C26" s="107"/>
      <c r="D26" s="114">
        <f t="shared" si="0"/>
        <v>6</v>
      </c>
      <c r="G26" s="466">
        <v>32940</v>
      </c>
      <c r="H26" s="467"/>
      <c r="I26" s="115"/>
      <c r="J26" s="110"/>
      <c r="K26" s="472"/>
      <c r="L26" s="473"/>
      <c r="M26" s="111"/>
      <c r="N26" s="111"/>
      <c r="O26" s="111">
        <f t="shared" si="1"/>
        <v>32940</v>
      </c>
      <c r="P26" s="111">
        <f t="shared" si="2"/>
        <v>197640</v>
      </c>
      <c r="Q26" s="112"/>
      <c r="R26" s="112"/>
      <c r="S26" s="112"/>
      <c r="T26" s="104"/>
      <c r="U26" s="105"/>
      <c r="V26" s="104"/>
    </row>
    <row r="27" spans="1:22" ht="20.25" customHeight="1" x14ac:dyDescent="0.2">
      <c r="A27" s="106">
        <v>43191</v>
      </c>
      <c r="B27" s="106">
        <v>43373</v>
      </c>
      <c r="C27" s="107"/>
      <c r="D27" s="114">
        <f t="shared" si="0"/>
        <v>6</v>
      </c>
      <c r="G27" s="466">
        <v>33950</v>
      </c>
      <c r="H27" s="467"/>
      <c r="I27" s="115"/>
      <c r="J27" s="110"/>
      <c r="K27" s="472"/>
      <c r="L27" s="473"/>
      <c r="M27" s="111"/>
      <c r="N27" s="111"/>
      <c r="O27" s="111">
        <f t="shared" si="1"/>
        <v>33950</v>
      </c>
      <c r="P27" s="111">
        <f t="shared" si="2"/>
        <v>203700</v>
      </c>
      <c r="Q27" s="112"/>
      <c r="R27" s="112"/>
      <c r="S27" s="112"/>
      <c r="T27" s="104"/>
      <c r="U27" s="105"/>
      <c r="V27" s="104"/>
    </row>
    <row r="28" spans="1:22" ht="20.25" customHeight="1" x14ac:dyDescent="0.2">
      <c r="A28" s="106">
        <v>43374</v>
      </c>
      <c r="B28" s="106">
        <v>43555</v>
      </c>
      <c r="C28" s="107"/>
      <c r="D28" s="114">
        <f t="shared" si="0"/>
        <v>6</v>
      </c>
      <c r="G28" s="466">
        <v>34960</v>
      </c>
      <c r="H28" s="467"/>
      <c r="I28" s="115"/>
      <c r="J28" s="110"/>
      <c r="K28" s="472"/>
      <c r="L28" s="473"/>
      <c r="M28" s="111"/>
      <c r="N28" s="111"/>
      <c r="O28" s="111">
        <f t="shared" si="1"/>
        <v>34960</v>
      </c>
      <c r="P28" s="111">
        <f t="shared" si="2"/>
        <v>209760</v>
      </c>
      <c r="Q28" s="112"/>
      <c r="R28" s="112"/>
      <c r="S28" s="112"/>
      <c r="T28" s="104"/>
      <c r="U28" s="105"/>
      <c r="V28" s="104"/>
    </row>
    <row r="29" spans="1:22" ht="20.25" customHeight="1" x14ac:dyDescent="0.2">
      <c r="A29" s="106">
        <v>43556</v>
      </c>
      <c r="B29" s="106">
        <v>43738</v>
      </c>
      <c r="C29" s="107"/>
      <c r="D29" s="114">
        <f t="shared" si="0"/>
        <v>6</v>
      </c>
      <c r="G29" s="466">
        <v>35970</v>
      </c>
      <c r="H29" s="467"/>
      <c r="I29" s="115"/>
      <c r="J29" s="110"/>
      <c r="K29" s="472"/>
      <c r="L29" s="473"/>
      <c r="M29" s="111"/>
      <c r="N29" s="111"/>
      <c r="O29" s="111">
        <f t="shared" si="1"/>
        <v>35970</v>
      </c>
      <c r="P29" s="111">
        <f t="shared" si="2"/>
        <v>215820</v>
      </c>
      <c r="Q29" s="112"/>
      <c r="R29" s="112"/>
      <c r="S29" s="112"/>
      <c r="T29" s="104"/>
      <c r="U29" s="105"/>
      <c r="V29" s="104"/>
    </row>
    <row r="30" spans="1:22" ht="20.25" customHeight="1" x14ac:dyDescent="0.2">
      <c r="A30" s="106">
        <v>43739</v>
      </c>
      <c r="B30" s="106">
        <v>43921</v>
      </c>
      <c r="C30" s="107"/>
      <c r="D30" s="114">
        <f t="shared" si="0"/>
        <v>6</v>
      </c>
      <c r="G30" s="466">
        <v>36980</v>
      </c>
      <c r="H30" s="467"/>
      <c r="I30" s="115"/>
      <c r="J30" s="110"/>
      <c r="K30" s="472"/>
      <c r="L30" s="473"/>
      <c r="M30" s="111"/>
      <c r="N30" s="111"/>
      <c r="O30" s="111">
        <f t="shared" si="1"/>
        <v>36980</v>
      </c>
      <c r="P30" s="111">
        <f t="shared" si="2"/>
        <v>221880</v>
      </c>
      <c r="Q30" s="112"/>
      <c r="R30" s="112"/>
      <c r="S30" s="112"/>
      <c r="T30" s="104"/>
      <c r="U30" s="105"/>
      <c r="V30" s="104"/>
    </row>
    <row r="31" spans="1:22" ht="20.25" customHeight="1" x14ac:dyDescent="0.2">
      <c r="A31" s="106">
        <v>43922</v>
      </c>
      <c r="B31" s="106">
        <v>44104</v>
      </c>
      <c r="C31" s="107"/>
      <c r="D31" s="114">
        <f t="shared" si="0"/>
        <v>6</v>
      </c>
      <c r="G31" s="466">
        <v>37990</v>
      </c>
      <c r="H31" s="467"/>
      <c r="I31" s="115"/>
      <c r="J31" s="110"/>
      <c r="K31" s="472"/>
      <c r="L31" s="473"/>
      <c r="M31" s="111"/>
      <c r="N31" s="111"/>
      <c r="O31" s="111">
        <f t="shared" si="1"/>
        <v>37990</v>
      </c>
      <c r="P31" s="111">
        <f t="shared" si="2"/>
        <v>227940</v>
      </c>
      <c r="Q31" s="112"/>
      <c r="R31" s="112"/>
      <c r="S31" s="112"/>
      <c r="T31" s="104"/>
      <c r="U31" s="105"/>
      <c r="V31" s="104"/>
    </row>
    <row r="32" spans="1:22" ht="20.25" customHeight="1" x14ac:dyDescent="0.2">
      <c r="A32" s="106">
        <v>44105</v>
      </c>
      <c r="B32" s="106">
        <v>44286</v>
      </c>
      <c r="C32" s="107"/>
      <c r="D32" s="114">
        <f t="shared" si="0"/>
        <v>6</v>
      </c>
      <c r="G32" s="466">
        <v>39000</v>
      </c>
      <c r="H32" s="467"/>
      <c r="I32" s="115"/>
      <c r="J32" s="110"/>
      <c r="K32" s="472"/>
      <c r="L32" s="473"/>
      <c r="M32" s="111"/>
      <c r="N32" s="111"/>
      <c r="O32" s="111">
        <f t="shared" si="1"/>
        <v>39000</v>
      </c>
      <c r="P32" s="111">
        <f t="shared" si="2"/>
        <v>234000</v>
      </c>
      <c r="Q32" s="112"/>
      <c r="R32" s="112"/>
      <c r="S32" s="112"/>
      <c r="T32" s="104"/>
      <c r="U32" s="105"/>
      <c r="V32" s="104"/>
    </row>
    <row r="33" spans="1:22" ht="20.25" customHeight="1" x14ac:dyDescent="0.2">
      <c r="A33" s="106">
        <v>44287</v>
      </c>
      <c r="B33" s="106">
        <v>44439</v>
      </c>
      <c r="C33" s="107"/>
      <c r="D33" s="114">
        <f t="shared" si="0"/>
        <v>5</v>
      </c>
      <c r="G33" s="466">
        <v>39630</v>
      </c>
      <c r="H33" s="467"/>
      <c r="I33" s="115"/>
      <c r="J33" s="110"/>
      <c r="K33" s="472"/>
      <c r="L33" s="473"/>
      <c r="M33" s="111"/>
      <c r="N33" s="111"/>
      <c r="O33" s="111">
        <f t="shared" si="1"/>
        <v>39630</v>
      </c>
      <c r="P33" s="111">
        <f t="shared" si="2"/>
        <v>198150</v>
      </c>
      <c r="Q33" s="112"/>
      <c r="R33" s="112"/>
      <c r="S33" s="112"/>
      <c r="T33" s="104"/>
      <c r="U33" s="105"/>
      <c r="V33" s="104"/>
    </row>
    <row r="34" spans="1:22" ht="20.25" customHeight="1" x14ac:dyDescent="0.2">
      <c r="A34" s="106">
        <v>44440</v>
      </c>
      <c r="B34" s="106">
        <v>44469</v>
      </c>
      <c r="C34" s="116"/>
      <c r="D34" s="114">
        <f t="shared" si="0"/>
        <v>1</v>
      </c>
      <c r="G34" s="466">
        <v>39630</v>
      </c>
      <c r="H34" s="467"/>
      <c r="I34" s="117"/>
      <c r="J34" s="110"/>
      <c r="K34" s="118"/>
      <c r="L34" s="119"/>
      <c r="M34" s="111"/>
      <c r="N34" s="111"/>
      <c r="O34" s="111">
        <f t="shared" si="1"/>
        <v>39630</v>
      </c>
      <c r="P34" s="111">
        <f t="shared" si="2"/>
        <v>39630</v>
      </c>
      <c r="Q34" s="112"/>
      <c r="R34" s="112"/>
      <c r="S34" s="112"/>
      <c r="T34" s="104"/>
      <c r="U34" s="105"/>
      <c r="V34" s="104"/>
    </row>
    <row r="35" spans="1:22" ht="20.25" customHeight="1" x14ac:dyDescent="0.2">
      <c r="A35" s="106"/>
      <c r="B35" s="106"/>
      <c r="C35" s="116"/>
      <c r="D35" s="114">
        <f t="shared" si="0"/>
        <v>0</v>
      </c>
      <c r="G35" s="466"/>
      <c r="H35" s="467"/>
      <c r="I35" s="117"/>
      <c r="J35" s="110"/>
      <c r="K35" s="120"/>
      <c r="L35" s="117"/>
      <c r="M35" s="111"/>
      <c r="N35" s="111"/>
      <c r="O35" s="111">
        <f t="shared" si="1"/>
        <v>0</v>
      </c>
      <c r="P35" s="111">
        <f t="shared" si="2"/>
        <v>0</v>
      </c>
      <c r="Q35" s="112"/>
      <c r="R35" s="112"/>
      <c r="S35" s="112"/>
      <c r="T35" s="104"/>
      <c r="U35" s="105"/>
      <c r="V35" s="104"/>
    </row>
    <row r="36" spans="1:22" ht="20.25" customHeight="1" x14ac:dyDescent="0.2">
      <c r="A36" s="121"/>
      <c r="B36" s="106"/>
      <c r="C36" s="122"/>
      <c r="D36" s="123">
        <f t="shared" si="0"/>
        <v>0</v>
      </c>
      <c r="G36" s="468"/>
      <c r="H36" s="469"/>
      <c r="I36" s="124"/>
      <c r="J36" s="110"/>
      <c r="K36" s="470"/>
      <c r="L36" s="471"/>
      <c r="M36" s="111"/>
      <c r="N36" s="111"/>
      <c r="O36" s="111">
        <f t="shared" si="1"/>
        <v>0</v>
      </c>
      <c r="P36" s="111">
        <f t="shared" si="2"/>
        <v>0</v>
      </c>
      <c r="Q36" s="112"/>
      <c r="R36" s="112"/>
      <c r="S36" s="112"/>
      <c r="T36" s="104"/>
      <c r="U36" s="105"/>
      <c r="V36" s="104"/>
    </row>
    <row r="37" spans="1:22" ht="23.25" customHeight="1" x14ac:dyDescent="0.2">
      <c r="A37" s="459" t="s">
        <v>29</v>
      </c>
      <c r="B37" s="460"/>
      <c r="C37" s="125"/>
      <c r="D37" s="126">
        <f>SUM(D24:D36)</f>
        <v>60</v>
      </c>
      <c r="E37" s="125"/>
      <c r="F37" s="125"/>
      <c r="G37" s="127" t="s">
        <v>30</v>
      </c>
      <c r="H37" s="104"/>
      <c r="I37" s="128"/>
      <c r="J37" s="129"/>
      <c r="K37" s="130"/>
      <c r="L37" s="131"/>
      <c r="M37" s="132"/>
      <c r="N37" s="132"/>
      <c r="O37" s="133"/>
      <c r="P37" s="134">
        <f>SUM(P24:P36)</f>
        <v>2125200</v>
      </c>
      <c r="Q37" s="112"/>
      <c r="R37" s="112"/>
      <c r="S37" s="112"/>
      <c r="T37" s="104"/>
      <c r="U37" s="105"/>
      <c r="V37" s="104"/>
    </row>
    <row r="38" spans="1:22" ht="30.75" hidden="1" customHeight="1" x14ac:dyDescent="0.2">
      <c r="A38" s="135"/>
      <c r="B38" s="136"/>
      <c r="C38" s="136"/>
      <c r="D38" s="461" t="s">
        <v>31</v>
      </c>
      <c r="E38" s="461"/>
      <c r="F38" s="461"/>
      <c r="G38" s="461"/>
      <c r="H38" s="461"/>
      <c r="I38" s="461"/>
      <c r="J38" s="461"/>
      <c r="K38" s="461"/>
      <c r="L38" s="462"/>
      <c r="M38" s="91"/>
      <c r="N38" s="91"/>
      <c r="O38" s="91"/>
      <c r="P38" s="137">
        <f>P37/60</f>
        <v>35420</v>
      </c>
      <c r="Q38" s="112"/>
      <c r="R38" s="112"/>
      <c r="S38" s="112"/>
    </row>
    <row r="39" spans="1:22" ht="23.25" customHeight="1" x14ac:dyDescent="0.2">
      <c r="A39" s="135"/>
      <c r="B39" s="138" t="s">
        <v>32</v>
      </c>
      <c r="C39" s="138"/>
      <c r="D39" s="104"/>
      <c r="E39" s="138"/>
      <c r="F39" s="138"/>
      <c r="G39" s="139">
        <f>P37</f>
        <v>2125200</v>
      </c>
      <c r="H39" s="138" t="s">
        <v>33</v>
      </c>
      <c r="I39" s="140" t="s">
        <v>34</v>
      </c>
      <c r="J39" s="138"/>
      <c r="K39" s="138" t="s">
        <v>35</v>
      </c>
      <c r="L39" s="141"/>
      <c r="M39" s="91"/>
      <c r="N39" s="91"/>
      <c r="O39" s="91"/>
      <c r="P39" s="132">
        <f>ROUND(P38,2)</f>
        <v>35420</v>
      </c>
      <c r="Q39" s="112"/>
      <c r="R39" s="112"/>
      <c r="S39" s="112"/>
    </row>
    <row r="40" spans="1:22" ht="39.75" hidden="1" customHeight="1" x14ac:dyDescent="0.2">
      <c r="A40" s="135"/>
      <c r="B40" s="142" t="s">
        <v>36</v>
      </c>
      <c r="C40" s="142"/>
      <c r="D40" s="104"/>
      <c r="E40" s="142"/>
      <c r="F40" s="142"/>
      <c r="G40" s="139">
        <f>P38</f>
        <v>35420</v>
      </c>
      <c r="H40" s="142"/>
      <c r="I40" s="142"/>
      <c r="J40" s="142"/>
      <c r="K40" s="138" t="s">
        <v>37</v>
      </c>
      <c r="L40" s="143"/>
      <c r="M40" s="91"/>
      <c r="N40" s="91"/>
      <c r="O40" s="91"/>
      <c r="P40" s="144">
        <f>P39*70%</f>
        <v>24794</v>
      </c>
      <c r="Q40" s="145"/>
      <c r="R40" s="145"/>
      <c r="S40" s="145"/>
    </row>
    <row r="41" spans="1:22" ht="21.75" customHeight="1" x14ac:dyDescent="0.2">
      <c r="A41" s="146"/>
      <c r="B41" s="147" t="s">
        <v>38</v>
      </c>
      <c r="C41" s="147"/>
      <c r="D41" s="148"/>
      <c r="E41" s="147"/>
      <c r="F41" s="147"/>
      <c r="G41" s="149">
        <f>P39</f>
        <v>35420</v>
      </c>
      <c r="H41" s="147" t="s">
        <v>39</v>
      </c>
      <c r="I41" s="147" t="s">
        <v>40</v>
      </c>
      <c r="J41" s="147"/>
      <c r="K41" s="150" t="s">
        <v>35</v>
      </c>
      <c r="L41" s="151"/>
      <c r="M41" s="91"/>
      <c r="N41" s="91"/>
      <c r="O41" s="91"/>
      <c r="P41" s="152">
        <f>ROUND(P40, 2)</f>
        <v>24794</v>
      </c>
      <c r="Q41" s="145"/>
      <c r="R41" s="145"/>
      <c r="S41" s="145"/>
    </row>
    <row r="42" spans="1:22" ht="10.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2"/>
      <c r="L42" s="91"/>
      <c r="M42" s="91"/>
      <c r="N42" s="91"/>
      <c r="O42" s="91"/>
      <c r="P42" s="91"/>
      <c r="Q42" s="91"/>
      <c r="R42" s="91"/>
      <c r="S42" s="91"/>
    </row>
    <row r="43" spans="1:22" ht="20.25" customHeight="1" x14ac:dyDescent="0.2">
      <c r="A43" s="153" t="s">
        <v>41</v>
      </c>
      <c r="B43" s="154"/>
      <c r="C43" s="154"/>
      <c r="D43" s="155" t="s">
        <v>35</v>
      </c>
      <c r="E43" s="155"/>
      <c r="F43" s="155"/>
      <c r="G43" s="156" t="s">
        <v>42</v>
      </c>
      <c r="H43" s="156"/>
      <c r="I43" s="156"/>
      <c r="J43" s="156"/>
      <c r="K43" s="157"/>
      <c r="L43" s="156"/>
      <c r="M43" s="156"/>
      <c r="N43" s="156"/>
      <c r="O43" s="156"/>
      <c r="P43" s="158"/>
      <c r="Q43" s="91"/>
      <c r="R43" s="91"/>
      <c r="S43" s="91"/>
    </row>
    <row r="44" spans="1:22" ht="20.25" customHeight="1" x14ac:dyDescent="0.2">
      <c r="A44" s="135"/>
      <c r="B44" s="136"/>
      <c r="C44" s="136"/>
      <c r="D44" s="103" t="s">
        <v>35</v>
      </c>
      <c r="E44" s="103"/>
      <c r="F44" s="103"/>
      <c r="G44" s="145">
        <f>P39</f>
        <v>35420</v>
      </c>
      <c r="H44" s="159" t="s">
        <v>39</v>
      </c>
      <c r="I44" s="159">
        <f>I17</f>
        <v>51.34</v>
      </c>
      <c r="J44" s="103"/>
      <c r="K44" s="160" t="s">
        <v>33</v>
      </c>
      <c r="L44" s="140">
        <f>50</f>
        <v>50</v>
      </c>
      <c r="M44" s="136"/>
      <c r="N44" s="136"/>
      <c r="O44" s="136"/>
      <c r="P44" s="161"/>
      <c r="Q44" s="91"/>
      <c r="R44" s="91"/>
      <c r="S44" s="91"/>
    </row>
    <row r="45" spans="1:22" ht="20.25" customHeight="1" x14ac:dyDescent="0.2">
      <c r="A45" s="135"/>
      <c r="B45" s="136"/>
      <c r="C45" s="136"/>
      <c r="D45" s="103" t="s">
        <v>35</v>
      </c>
      <c r="E45" s="162">
        <f>G44*I44/L44</f>
        <v>36369.256000000001</v>
      </c>
      <c r="F45" s="163">
        <f>ROUND(E45,2)</f>
        <v>36369.26</v>
      </c>
      <c r="G45" s="164">
        <f>ROUND(E45,2)</f>
        <v>36369.26</v>
      </c>
      <c r="H45" s="162" t="s">
        <v>43</v>
      </c>
      <c r="I45" s="136"/>
      <c r="J45" s="136"/>
      <c r="K45" s="165"/>
      <c r="L45" s="136"/>
      <c r="M45" s="136"/>
      <c r="N45" s="136"/>
      <c r="O45" s="136"/>
      <c r="P45" s="161"/>
      <c r="Q45" s="91"/>
      <c r="R45" s="91"/>
      <c r="S45" s="91"/>
    </row>
    <row r="46" spans="1:22" ht="20.25" customHeight="1" x14ac:dyDescent="0.2">
      <c r="A46" s="135" t="s">
        <v>44</v>
      </c>
      <c r="B46" s="136"/>
      <c r="C46" s="136"/>
      <c r="D46" s="103"/>
      <c r="E46" s="103"/>
      <c r="F46" s="103"/>
      <c r="G46" s="136"/>
      <c r="H46" s="136"/>
      <c r="I46" s="136"/>
      <c r="J46" s="136"/>
      <c r="K46" s="165"/>
      <c r="L46" s="136"/>
      <c r="M46" s="136"/>
      <c r="N46" s="136"/>
      <c r="O46" s="136"/>
      <c r="P46" s="161"/>
      <c r="Q46" s="91"/>
      <c r="R46" s="91"/>
      <c r="S46" s="91"/>
    </row>
    <row r="47" spans="1:22" ht="20.25" customHeight="1" x14ac:dyDescent="0.2">
      <c r="A47" s="166" t="s">
        <v>197</v>
      </c>
      <c r="B47" s="167"/>
      <c r="C47" s="167"/>
      <c r="D47" s="168"/>
      <c r="E47" s="168"/>
      <c r="F47" s="168"/>
      <c r="G47" s="169">
        <f>IF(G45&lt;P41,F45,P41)</f>
        <v>24794</v>
      </c>
      <c r="H47" s="170" t="s">
        <v>43</v>
      </c>
      <c r="I47" s="170"/>
      <c r="J47" s="170"/>
      <c r="K47" s="171"/>
      <c r="L47" s="170"/>
      <c r="M47" s="170"/>
      <c r="N47" s="170"/>
      <c r="O47" s="170"/>
      <c r="P47" s="172"/>
      <c r="Q47" s="91"/>
      <c r="R47" s="91"/>
      <c r="S47" s="91"/>
    </row>
    <row r="48" spans="1:22" ht="8.25" customHeight="1" x14ac:dyDescent="0.2">
      <c r="A48" s="91"/>
      <c r="B48" s="91"/>
      <c r="C48" s="91"/>
      <c r="D48" s="173"/>
      <c r="E48" s="173"/>
      <c r="F48" s="173"/>
      <c r="H48" s="174"/>
      <c r="I48" s="91"/>
      <c r="J48" s="91"/>
      <c r="K48" s="92"/>
      <c r="L48" s="91"/>
      <c r="M48" s="91"/>
      <c r="N48" s="91"/>
      <c r="O48" s="91"/>
      <c r="P48" s="91"/>
      <c r="Q48" s="91"/>
      <c r="R48" s="91"/>
      <c r="S48" s="91"/>
    </row>
    <row r="49" spans="1:21" ht="20.25" customHeight="1" x14ac:dyDescent="0.2">
      <c r="A49" s="153" t="s">
        <v>183</v>
      </c>
      <c r="B49" s="154"/>
      <c r="C49" s="154"/>
      <c r="D49" s="155" t="s">
        <v>184</v>
      </c>
      <c r="E49" s="155"/>
      <c r="F49" s="155"/>
      <c r="G49" s="156" t="s">
        <v>45</v>
      </c>
      <c r="H49" s="156"/>
      <c r="I49" s="156"/>
      <c r="J49" s="156"/>
      <c r="K49" s="157"/>
      <c r="L49" s="156"/>
      <c r="M49" s="156"/>
      <c r="N49" s="156"/>
      <c r="O49" s="156"/>
      <c r="P49" s="158"/>
      <c r="Q49" s="91"/>
      <c r="R49" s="91"/>
      <c r="S49" s="91"/>
    </row>
    <row r="50" spans="1:21" ht="20.25" customHeight="1" x14ac:dyDescent="0.2">
      <c r="A50" s="135"/>
      <c r="B50" s="136"/>
      <c r="C50" s="136"/>
      <c r="D50" s="354" t="s">
        <v>184</v>
      </c>
      <c r="E50" s="103"/>
      <c r="F50" s="103"/>
      <c r="G50" s="145">
        <f>IF(G36&gt;0,O36,IF(G35&gt;0,O35,IF(G34&gt;0,O34,IF(G33&gt;0,O33,IF(G32&gt;0,O32,IF(G31&gt;0,O31,IF(G30&gt;0,O30,IF(G29&gt;0,O29,IF(G28&gt;0,O28,IF(G27&gt;0,O27,IF(G26&gt;0,O26,IF(G25&gt;0,O25,IF(G24&gt;0,O24,(""))))))))))))))</f>
        <v>39630</v>
      </c>
      <c r="H50" s="103" t="s">
        <v>39</v>
      </c>
      <c r="I50" s="145">
        <f>ROUND(I17,0)</f>
        <v>51</v>
      </c>
      <c r="J50" s="136"/>
      <c r="K50" s="160" t="s">
        <v>33</v>
      </c>
      <c r="L50" s="140">
        <v>50</v>
      </c>
      <c r="M50" s="136"/>
      <c r="N50" s="136"/>
      <c r="O50" s="136"/>
      <c r="P50" s="161"/>
      <c r="Q50" s="91"/>
      <c r="R50" s="91"/>
      <c r="S50" s="91"/>
    </row>
    <row r="51" spans="1:21" ht="20.25" customHeight="1" x14ac:dyDescent="0.2">
      <c r="A51" s="135"/>
      <c r="B51" s="136"/>
      <c r="C51" s="136"/>
      <c r="D51" s="354" t="s">
        <v>184</v>
      </c>
      <c r="E51" s="103"/>
      <c r="F51" s="103"/>
      <c r="G51" s="175">
        <f>ROUND((G50*I50/L50),2)</f>
        <v>40422.6</v>
      </c>
      <c r="H51" s="136" t="s">
        <v>43</v>
      </c>
      <c r="I51" s="136"/>
      <c r="J51" s="136"/>
      <c r="K51" s="165"/>
      <c r="L51" s="136"/>
      <c r="M51" s="136"/>
      <c r="N51" s="136"/>
      <c r="O51" s="136"/>
      <c r="P51" s="161"/>
      <c r="Q51" s="91"/>
      <c r="R51" s="91"/>
      <c r="S51" s="91"/>
    </row>
    <row r="52" spans="1:21" ht="20.25" customHeight="1" x14ac:dyDescent="0.2">
      <c r="A52" s="176" t="s">
        <v>173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5"/>
      <c r="L52" s="104"/>
      <c r="M52" s="104"/>
      <c r="N52" s="104"/>
      <c r="O52" s="104"/>
      <c r="P52" s="177"/>
    </row>
    <row r="53" spans="1:21" ht="24" customHeight="1" x14ac:dyDescent="0.2">
      <c r="A53" s="166" t="s">
        <v>196</v>
      </c>
      <c r="B53" s="178"/>
      <c r="C53" s="178"/>
      <c r="D53" s="178"/>
      <c r="E53" s="178"/>
      <c r="F53" s="178"/>
      <c r="G53" s="179">
        <f>ROUND(IF(G50&gt;0,IF((G51&lt;(G50)),(G51),G50),""),2)</f>
        <v>39630</v>
      </c>
      <c r="H53" s="170" t="s">
        <v>43</v>
      </c>
      <c r="I53" s="178"/>
      <c r="J53" s="178"/>
      <c r="K53" s="180"/>
      <c r="L53" s="178"/>
      <c r="M53" s="178"/>
      <c r="N53" s="178"/>
      <c r="O53" s="178"/>
      <c r="P53" s="181"/>
    </row>
    <row r="54" spans="1:21" ht="20.25" customHeight="1" x14ac:dyDescent="0.25">
      <c r="A54" s="182" t="s">
        <v>47</v>
      </c>
      <c r="B54" s="182"/>
      <c r="C54" s="182"/>
      <c r="D54" s="85"/>
      <c r="E54" s="85"/>
      <c r="F54" s="85"/>
      <c r="G54" s="85"/>
      <c r="H54" s="85"/>
      <c r="I54" s="85"/>
      <c r="J54" s="85"/>
      <c r="K54" s="183"/>
      <c r="L54" s="85"/>
      <c r="M54" s="85"/>
      <c r="N54" s="85"/>
      <c r="O54" s="85"/>
      <c r="P54" s="85"/>
      <c r="Q54" s="85"/>
      <c r="R54" s="85"/>
      <c r="S54" s="85"/>
    </row>
    <row r="55" spans="1:21" ht="24.75" customHeight="1" x14ac:dyDescent="0.25">
      <c r="A55" s="184" t="s">
        <v>185</v>
      </c>
      <c r="B55" s="185"/>
      <c r="C55" s="185"/>
      <c r="D55" s="185"/>
      <c r="E55" s="185"/>
      <c r="F55" s="185"/>
      <c r="G55" s="186">
        <f>G53</f>
        <v>39630</v>
      </c>
      <c r="H55" s="187" t="s">
        <v>48</v>
      </c>
      <c r="I55" s="186">
        <f>G47</f>
        <v>24794</v>
      </c>
      <c r="J55" s="185"/>
      <c r="K55" s="188" t="s">
        <v>49</v>
      </c>
      <c r="L55" s="189">
        <f>$G$53-$G$47</f>
        <v>14836</v>
      </c>
      <c r="M55" s="190"/>
      <c r="N55" s="190"/>
      <c r="O55" s="190"/>
      <c r="P55" s="191" t="s">
        <v>50</v>
      </c>
      <c r="Q55" s="192"/>
      <c r="R55" s="192"/>
      <c r="S55" s="192"/>
    </row>
    <row r="56" spans="1:21" ht="24" customHeight="1" x14ac:dyDescent="0.25">
      <c r="A56" s="463" t="s">
        <v>174</v>
      </c>
      <c r="B56" s="464"/>
      <c r="C56" s="464"/>
      <c r="D56" s="464"/>
      <c r="E56" s="464"/>
      <c r="F56" s="464"/>
      <c r="G56" s="464"/>
      <c r="H56" s="464"/>
      <c r="I56" s="464"/>
      <c r="J56" s="464"/>
      <c r="K56" s="465"/>
      <c r="L56" s="193">
        <v>750086.09</v>
      </c>
      <c r="M56" s="190"/>
      <c r="N56" s="190"/>
      <c r="O56" s="190"/>
      <c r="P56" s="191" t="s">
        <v>51</v>
      </c>
      <c r="Q56" s="192"/>
      <c r="R56" s="192"/>
      <c r="S56" s="192"/>
    </row>
    <row r="57" spans="1:21" ht="23.25" customHeight="1" x14ac:dyDescent="0.25">
      <c r="A57" s="194" t="s">
        <v>215</v>
      </c>
      <c r="B57" s="185"/>
      <c r="C57" s="185"/>
      <c r="D57" s="96"/>
      <c r="E57" s="185"/>
      <c r="F57" s="185"/>
      <c r="G57" s="186">
        <f>L55</f>
        <v>14836</v>
      </c>
      <c r="H57" s="185" t="s">
        <v>53</v>
      </c>
      <c r="I57" s="96"/>
      <c r="J57" s="185"/>
      <c r="K57" s="185"/>
      <c r="L57" s="195">
        <f>ROUND((L56/L55)/12,2)</f>
        <v>4.21</v>
      </c>
      <c r="M57" s="418"/>
      <c r="N57" s="190"/>
      <c r="O57" s="419"/>
      <c r="P57" s="418" t="s">
        <v>217</v>
      </c>
      <c r="Q57" s="196"/>
      <c r="R57" s="196"/>
      <c r="S57" s="196"/>
    </row>
    <row r="58" spans="1:21" ht="17.25" customHeight="1" x14ac:dyDescent="0.2">
      <c r="A58" s="422" t="s">
        <v>218</v>
      </c>
      <c r="B58" s="423"/>
      <c r="C58" s="423"/>
      <c r="D58" s="423"/>
      <c r="E58" s="423"/>
      <c r="F58" s="423"/>
      <c r="G58" s="186">
        <v>14836</v>
      </c>
      <c r="H58" s="185" t="s">
        <v>53</v>
      </c>
      <c r="I58" s="423"/>
      <c r="J58" s="423"/>
      <c r="K58" s="423"/>
      <c r="L58" s="195">
        <v>4.21</v>
      </c>
      <c r="M58" s="423"/>
      <c r="N58" s="423"/>
      <c r="O58" s="423"/>
      <c r="P58" s="418" t="s">
        <v>219</v>
      </c>
    </row>
    <row r="59" spans="1:21" ht="17.25" customHeight="1" x14ac:dyDescent="0.2">
      <c r="D59" s="197"/>
      <c r="E59" s="197"/>
      <c r="F59" s="197"/>
      <c r="G59" s="198"/>
      <c r="H59" s="198"/>
    </row>
    <row r="60" spans="1:21" s="200" customFormat="1" ht="36.75" customHeight="1" x14ac:dyDescent="0.65">
      <c r="A60" s="199" t="s">
        <v>55</v>
      </c>
      <c r="D60" s="201"/>
      <c r="E60" s="201"/>
      <c r="F60" s="201"/>
      <c r="G60" s="202"/>
      <c r="H60" s="202"/>
      <c r="K60" s="203"/>
      <c r="U60" s="203"/>
    </row>
    <row r="61" spans="1:21" s="200" customFormat="1" ht="24" customHeight="1" x14ac:dyDescent="0.55000000000000004">
      <c r="A61" s="204" t="s">
        <v>56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6"/>
      <c r="L61" s="205"/>
      <c r="M61" s="205"/>
      <c r="N61" s="205"/>
      <c r="O61" s="205"/>
      <c r="P61" s="205"/>
      <c r="U61" s="203"/>
    </row>
    <row r="62" spans="1:21" s="200" customFormat="1" ht="24" customHeight="1" x14ac:dyDescent="0.55000000000000004">
      <c r="A62" s="204" t="s">
        <v>57</v>
      </c>
      <c r="B62" s="204"/>
      <c r="C62" s="204"/>
      <c r="D62" s="204"/>
      <c r="E62" s="204"/>
      <c r="F62" s="204"/>
      <c r="G62" s="204"/>
      <c r="H62" s="204"/>
      <c r="I62" s="204"/>
      <c r="J62" s="205"/>
      <c r="K62" s="206"/>
      <c r="L62" s="205"/>
      <c r="M62" s="205"/>
      <c r="N62" s="205"/>
      <c r="O62" s="205"/>
      <c r="P62" s="205"/>
      <c r="U62" s="203"/>
    </row>
    <row r="63" spans="1:21" s="200" customFormat="1" ht="24" customHeight="1" x14ac:dyDescent="0.55000000000000004">
      <c r="A63" s="204" t="s">
        <v>58</v>
      </c>
      <c r="B63" s="204"/>
      <c r="C63" s="204"/>
      <c r="D63" s="204"/>
      <c r="E63" s="204"/>
      <c r="F63" s="204"/>
      <c r="G63" s="204"/>
      <c r="H63" s="204"/>
      <c r="I63" s="204"/>
      <c r="J63" s="205"/>
      <c r="K63" s="206"/>
      <c r="L63" s="205"/>
      <c r="M63" s="205"/>
      <c r="N63" s="205"/>
      <c r="O63" s="205"/>
      <c r="P63" s="205"/>
      <c r="U63" s="203"/>
    </row>
    <row r="64" spans="1:21" s="200" customFormat="1" ht="24" customHeight="1" x14ac:dyDescent="0.55000000000000004">
      <c r="A64" s="204" t="s">
        <v>59</v>
      </c>
      <c r="B64" s="204"/>
      <c r="C64" s="204"/>
      <c r="D64" s="204"/>
      <c r="E64" s="204"/>
      <c r="F64" s="204"/>
      <c r="G64" s="204"/>
      <c r="H64" s="204"/>
      <c r="I64" s="204"/>
      <c r="J64" s="205"/>
      <c r="K64" s="206"/>
      <c r="L64" s="205"/>
      <c r="M64" s="205"/>
      <c r="N64" s="205"/>
      <c r="O64" s="205"/>
      <c r="P64" s="205"/>
      <c r="U64" s="203"/>
    </row>
    <row r="65" spans="1:21" s="200" customFormat="1" ht="24" customHeight="1" x14ac:dyDescent="0.55000000000000004">
      <c r="A65" s="204" t="s">
        <v>60</v>
      </c>
      <c r="B65" s="204"/>
      <c r="C65" s="204"/>
      <c r="D65" s="204"/>
      <c r="E65" s="204"/>
      <c r="F65" s="204"/>
      <c r="G65" s="204"/>
      <c r="H65" s="204"/>
      <c r="I65" s="204"/>
      <c r="J65" s="205"/>
      <c r="K65" s="206"/>
      <c r="L65" s="205"/>
      <c r="M65" s="205"/>
      <c r="N65" s="205"/>
      <c r="O65" s="205"/>
      <c r="P65" s="205"/>
      <c r="U65" s="203"/>
    </row>
    <row r="66" spans="1:21" s="200" customFormat="1" ht="24" customHeight="1" x14ac:dyDescent="0.55000000000000004">
      <c r="A66" s="204" t="s">
        <v>61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6"/>
      <c r="L66" s="205"/>
      <c r="M66" s="205"/>
      <c r="N66" s="205"/>
      <c r="O66" s="205"/>
      <c r="P66" s="205"/>
      <c r="U66" s="203"/>
    </row>
    <row r="67" spans="1:21" s="200" customFormat="1" ht="24" customHeight="1" x14ac:dyDescent="0.55000000000000004">
      <c r="A67" s="204" t="s">
        <v>62</v>
      </c>
      <c r="B67" s="205"/>
      <c r="C67" s="205"/>
      <c r="D67" s="205"/>
      <c r="E67" s="205"/>
      <c r="F67" s="205"/>
      <c r="G67" s="205"/>
      <c r="H67" s="205"/>
      <c r="I67" s="205"/>
      <c r="J67" s="205"/>
      <c r="K67" s="206"/>
      <c r="L67" s="205"/>
      <c r="M67" s="205"/>
      <c r="N67" s="205"/>
      <c r="O67" s="205"/>
      <c r="P67" s="205"/>
      <c r="U67" s="203"/>
    </row>
    <row r="68" spans="1:21" ht="28.5" customHeight="1" x14ac:dyDescent="0.65">
      <c r="A68" s="207" t="s">
        <v>6</v>
      </c>
      <c r="B68" s="207" t="s">
        <v>7</v>
      </c>
      <c r="C68" s="207"/>
      <c r="D68" s="207" t="s">
        <v>23</v>
      </c>
      <c r="E68" s="208"/>
      <c r="F68" s="208"/>
      <c r="G68" s="457" t="s">
        <v>24</v>
      </c>
      <c r="H68" s="458"/>
      <c r="I68" s="208"/>
      <c r="J68" s="209"/>
      <c r="K68" s="210"/>
      <c r="L68" s="209"/>
      <c r="M68" s="209"/>
      <c r="N68" s="209"/>
      <c r="O68" s="209"/>
      <c r="P68" s="209"/>
    </row>
    <row r="69" spans="1:21" ht="21.75" customHeight="1" x14ac:dyDescent="0.65">
      <c r="A69" s="211">
        <v>40269</v>
      </c>
      <c r="B69" s="211">
        <v>40451</v>
      </c>
      <c r="C69" s="212"/>
      <c r="D69" s="213">
        <f>IF(A69&gt;0,MONTH(B69-A69),0)</f>
        <v>6</v>
      </c>
      <c r="E69" s="209"/>
      <c r="F69" s="209"/>
      <c r="G69" s="455"/>
      <c r="H69" s="456"/>
      <c r="I69" s="208"/>
      <c r="J69" s="209"/>
      <c r="K69" s="210"/>
      <c r="L69" s="209"/>
      <c r="M69" s="209"/>
      <c r="N69" s="209"/>
      <c r="O69" s="209"/>
      <c r="P69" s="209"/>
    </row>
    <row r="70" spans="1:21" ht="21.75" customHeight="1" x14ac:dyDescent="0.55000000000000004">
      <c r="A70" s="211">
        <v>40452</v>
      </c>
      <c r="B70" s="211">
        <v>40574</v>
      </c>
      <c r="C70" s="212"/>
      <c r="D70" s="213">
        <f>IF(A70&gt;0,MONTH(B70-A70),0)</f>
        <v>5</v>
      </c>
      <c r="E70" s="209"/>
      <c r="F70" s="209"/>
      <c r="G70" s="455"/>
      <c r="H70" s="456"/>
      <c r="I70" s="204" t="s">
        <v>63</v>
      </c>
      <c r="J70" s="209"/>
      <c r="K70" s="210"/>
      <c r="L70" s="209"/>
      <c r="M70" s="209"/>
      <c r="N70" s="209"/>
      <c r="O70" s="209"/>
      <c r="P70" s="209"/>
    </row>
    <row r="71" spans="1:21" ht="21.75" customHeight="1" x14ac:dyDescent="0.55000000000000004">
      <c r="A71" s="211">
        <v>40452</v>
      </c>
      <c r="B71" s="211">
        <v>40573</v>
      </c>
      <c r="C71" s="212"/>
      <c r="D71" s="213">
        <f>IF(A71&gt;0,MONTH(B71-A71),0)</f>
        <v>4</v>
      </c>
      <c r="E71" s="209"/>
      <c r="F71" s="209"/>
      <c r="G71" s="455"/>
      <c r="H71" s="456"/>
      <c r="I71" s="214" t="s">
        <v>64</v>
      </c>
      <c r="J71" s="209"/>
      <c r="K71" s="210"/>
      <c r="L71" s="209"/>
      <c r="M71" s="209"/>
      <c r="N71" s="209"/>
      <c r="O71" s="209"/>
      <c r="P71" s="209"/>
    </row>
    <row r="72" spans="1:21" ht="21.75" customHeight="1" x14ac:dyDescent="0.65">
      <c r="A72" s="211">
        <v>40575</v>
      </c>
      <c r="B72" s="211">
        <v>40633</v>
      </c>
      <c r="C72" s="212"/>
      <c r="D72" s="213">
        <f>IF(A72&gt;0,MONTH(B72-A72),0)</f>
        <v>2</v>
      </c>
      <c r="E72" s="209"/>
      <c r="F72" s="209"/>
      <c r="G72" s="455"/>
      <c r="H72" s="456"/>
      <c r="I72" s="215"/>
      <c r="J72" s="209"/>
      <c r="K72" s="210"/>
      <c r="L72" s="209"/>
      <c r="M72" s="209"/>
      <c r="N72" s="209"/>
      <c r="O72" s="209"/>
      <c r="P72" s="209"/>
    </row>
    <row r="73" spans="1:21" ht="17.25" customHeight="1" x14ac:dyDescent="0.65">
      <c r="A73" s="216"/>
      <c r="B73" s="216"/>
      <c r="C73" s="217"/>
      <c r="D73" s="218"/>
      <c r="E73" s="219"/>
      <c r="F73" s="219"/>
      <c r="G73" s="220"/>
      <c r="H73" s="220"/>
      <c r="I73" s="215"/>
      <c r="J73" s="209"/>
      <c r="K73" s="210"/>
      <c r="L73" s="209"/>
      <c r="M73" s="209"/>
      <c r="N73" s="209"/>
      <c r="O73" s="209"/>
      <c r="P73" s="209"/>
    </row>
    <row r="74" spans="1:21" s="200" customFormat="1" ht="24.75" customHeight="1" x14ac:dyDescent="0.55000000000000004">
      <c r="A74" s="204" t="s">
        <v>65</v>
      </c>
      <c r="K74" s="203"/>
      <c r="U74" s="203"/>
    </row>
    <row r="75" spans="1:21" s="200" customFormat="1" ht="24.75" customHeight="1" x14ac:dyDescent="0.55000000000000004">
      <c r="A75" s="204" t="s">
        <v>66</v>
      </c>
      <c r="K75" s="203"/>
      <c r="U75" s="203"/>
    </row>
    <row r="76" spans="1:21" s="200" customFormat="1" ht="24.75" customHeight="1" x14ac:dyDescent="0.55000000000000004">
      <c r="A76" s="204" t="s">
        <v>67</v>
      </c>
      <c r="K76" s="203"/>
      <c r="U76" s="203"/>
    </row>
    <row r="77" spans="1:21" ht="20.25" customHeight="1" x14ac:dyDescent="0.65">
      <c r="A77" s="207" t="s">
        <v>6</v>
      </c>
      <c r="B77" s="207" t="s">
        <v>7</v>
      </c>
      <c r="C77" s="207"/>
      <c r="D77" s="207" t="s">
        <v>23</v>
      </c>
      <c r="E77" s="208"/>
      <c r="F77" s="208"/>
      <c r="G77" s="457" t="s">
        <v>24</v>
      </c>
      <c r="H77" s="458"/>
    </row>
    <row r="78" spans="1:21" ht="18.75" customHeight="1" x14ac:dyDescent="0.35">
      <c r="A78" s="211">
        <v>39600</v>
      </c>
      <c r="B78" s="211">
        <v>39721</v>
      </c>
      <c r="C78" s="212"/>
      <c r="D78" s="213">
        <f t="shared" ref="D78:D88" si="3">IF(A78&gt;0,MONTH(B78-A78),0)</f>
        <v>4</v>
      </c>
      <c r="E78" s="209"/>
      <c r="F78" s="209"/>
      <c r="G78" s="455"/>
      <c r="H78" s="456"/>
    </row>
    <row r="79" spans="1:21" ht="18.75" customHeight="1" x14ac:dyDescent="0.35">
      <c r="A79" s="211">
        <v>39722</v>
      </c>
      <c r="B79" s="211">
        <v>39903</v>
      </c>
      <c r="C79" s="212"/>
      <c r="D79" s="213">
        <f t="shared" si="3"/>
        <v>6</v>
      </c>
      <c r="E79" s="209"/>
      <c r="F79" s="209"/>
      <c r="G79" s="455"/>
      <c r="H79" s="456"/>
    </row>
    <row r="80" spans="1:21" ht="18.75" customHeight="1" x14ac:dyDescent="0.35">
      <c r="A80" s="211">
        <v>39904</v>
      </c>
      <c r="B80" s="211">
        <v>40086</v>
      </c>
      <c r="C80" s="212"/>
      <c r="D80" s="213">
        <f t="shared" si="3"/>
        <v>6</v>
      </c>
      <c r="E80" s="209"/>
      <c r="F80" s="209"/>
      <c r="G80" s="455"/>
      <c r="H80" s="456"/>
    </row>
    <row r="81" spans="1:21" ht="18.75" customHeight="1" x14ac:dyDescent="0.35">
      <c r="A81" s="211">
        <v>40087</v>
      </c>
      <c r="B81" s="211">
        <v>40268</v>
      </c>
      <c r="C81" s="212"/>
      <c r="D81" s="213">
        <f t="shared" si="3"/>
        <v>6</v>
      </c>
      <c r="E81" s="209"/>
      <c r="F81" s="209"/>
      <c r="G81" s="455"/>
      <c r="H81" s="456"/>
    </row>
    <row r="82" spans="1:21" ht="18.75" customHeight="1" x14ac:dyDescent="0.35">
      <c r="A82" s="211">
        <v>40269</v>
      </c>
      <c r="B82" s="211">
        <v>40451</v>
      </c>
      <c r="C82" s="212"/>
      <c r="D82" s="213">
        <f t="shared" si="3"/>
        <v>6</v>
      </c>
      <c r="E82" s="209"/>
      <c r="F82" s="209"/>
      <c r="G82" s="455"/>
      <c r="H82" s="456"/>
    </row>
    <row r="83" spans="1:21" ht="18.75" customHeight="1" x14ac:dyDescent="0.35">
      <c r="A83" s="211">
        <v>40452</v>
      </c>
      <c r="B83" s="211">
        <v>40633</v>
      </c>
      <c r="C83" s="212"/>
      <c r="D83" s="213">
        <f t="shared" si="3"/>
        <v>6</v>
      </c>
      <c r="E83" s="209"/>
      <c r="F83" s="209"/>
      <c r="G83" s="455"/>
      <c r="H83" s="456"/>
    </row>
    <row r="84" spans="1:21" ht="18.75" customHeight="1" x14ac:dyDescent="0.35">
      <c r="A84" s="211">
        <v>40634</v>
      </c>
      <c r="B84" s="211">
        <v>40816</v>
      </c>
      <c r="C84" s="212"/>
      <c r="D84" s="213">
        <f t="shared" si="3"/>
        <v>6</v>
      </c>
      <c r="E84" s="209"/>
      <c r="F84" s="209"/>
      <c r="G84" s="455"/>
      <c r="H84" s="456"/>
    </row>
    <row r="85" spans="1:21" ht="18.75" customHeight="1" x14ac:dyDescent="0.35">
      <c r="A85" s="211">
        <v>40817</v>
      </c>
      <c r="B85" s="211">
        <v>40999</v>
      </c>
      <c r="C85" s="212"/>
      <c r="D85" s="213">
        <f t="shared" si="3"/>
        <v>6</v>
      </c>
      <c r="E85" s="209"/>
      <c r="F85" s="209"/>
      <c r="G85" s="455">
        <v>29740</v>
      </c>
      <c r="H85" s="456"/>
    </row>
    <row r="86" spans="1:21" ht="18.75" customHeight="1" x14ac:dyDescent="0.35">
      <c r="A86" s="211">
        <v>41000</v>
      </c>
      <c r="B86" s="211">
        <v>41182</v>
      </c>
      <c r="C86" s="212"/>
      <c r="D86" s="213">
        <f t="shared" si="3"/>
        <v>6</v>
      </c>
      <c r="E86" s="209"/>
      <c r="F86" s="209"/>
      <c r="G86" s="455">
        <v>31080</v>
      </c>
      <c r="H86" s="456"/>
    </row>
    <row r="87" spans="1:21" ht="18.75" customHeight="1" x14ac:dyDescent="0.35">
      <c r="A87" s="211">
        <v>41183</v>
      </c>
      <c r="B87" s="211">
        <v>41364</v>
      </c>
      <c r="C87" s="212"/>
      <c r="D87" s="213">
        <f t="shared" si="3"/>
        <v>6</v>
      </c>
      <c r="E87" s="209"/>
      <c r="F87" s="209"/>
      <c r="G87" s="455">
        <v>31940</v>
      </c>
      <c r="H87" s="456"/>
    </row>
    <row r="88" spans="1:21" ht="18.75" customHeight="1" x14ac:dyDescent="0.35">
      <c r="A88" s="211">
        <v>41365</v>
      </c>
      <c r="B88" s="211">
        <v>41425</v>
      </c>
      <c r="C88" s="212"/>
      <c r="D88" s="213">
        <f t="shared" si="3"/>
        <v>2</v>
      </c>
      <c r="E88" s="209"/>
      <c r="F88" s="209"/>
      <c r="G88" s="455">
        <v>32570</v>
      </c>
      <c r="H88" s="456"/>
    </row>
    <row r="89" spans="1:21" ht="24" customHeight="1" x14ac:dyDescent="0.2">
      <c r="A89" s="221"/>
      <c r="B89" s="222" t="s">
        <v>68</v>
      </c>
      <c r="C89" s="223"/>
      <c r="D89" s="224">
        <f>SUM(D78:D88)</f>
        <v>60</v>
      </c>
      <c r="E89" s="221"/>
      <c r="F89" s="221"/>
      <c r="G89" s="221"/>
      <c r="H89" s="221"/>
    </row>
    <row r="90" spans="1:21" s="200" customFormat="1" ht="24.75" customHeight="1" x14ac:dyDescent="0.55000000000000004">
      <c r="A90" s="204" t="s">
        <v>69</v>
      </c>
      <c r="K90" s="203"/>
      <c r="U90" s="203"/>
    </row>
    <row r="91" spans="1:21" s="200" customFormat="1" ht="24.75" customHeight="1" x14ac:dyDescent="0.55000000000000004">
      <c r="A91" s="204" t="s">
        <v>70</v>
      </c>
      <c r="K91" s="203"/>
      <c r="U91" s="203"/>
    </row>
    <row r="92" spans="1:21" s="200" customFormat="1" ht="24.75" customHeight="1" x14ac:dyDescent="0.55000000000000004">
      <c r="A92" s="204" t="s">
        <v>71</v>
      </c>
      <c r="K92" s="203"/>
      <c r="U92" s="203"/>
    </row>
    <row r="93" spans="1:21" ht="20.25" customHeight="1" x14ac:dyDescent="0.65">
      <c r="A93" s="207" t="s">
        <v>6</v>
      </c>
      <c r="B93" s="207" t="s">
        <v>7</v>
      </c>
      <c r="C93" s="207"/>
      <c r="D93" s="207" t="s">
        <v>23</v>
      </c>
      <c r="E93" s="208"/>
      <c r="F93" s="208"/>
      <c r="G93" s="457" t="s">
        <v>24</v>
      </c>
      <c r="H93" s="458"/>
    </row>
    <row r="94" spans="1:21" ht="20.25" customHeight="1" x14ac:dyDescent="0.35">
      <c r="A94" s="225">
        <v>39569</v>
      </c>
      <c r="B94" s="225">
        <v>39721</v>
      </c>
      <c r="C94" s="226"/>
      <c r="D94" s="213">
        <f t="shared" ref="D94:D104" si="4">IF(A94&gt;0,MONTH(B94-A94),0)</f>
        <v>5</v>
      </c>
      <c r="E94" s="227"/>
      <c r="F94" s="227"/>
      <c r="G94" s="455"/>
      <c r="H94" s="456"/>
    </row>
    <row r="95" spans="1:21" ht="20.25" customHeight="1" x14ac:dyDescent="0.35">
      <c r="A95" s="225">
        <v>39722</v>
      </c>
      <c r="B95" s="225">
        <v>39903</v>
      </c>
      <c r="C95" s="226"/>
      <c r="D95" s="213">
        <f t="shared" si="4"/>
        <v>6</v>
      </c>
      <c r="E95" s="227"/>
      <c r="F95" s="227"/>
      <c r="G95" s="455"/>
      <c r="H95" s="456"/>
    </row>
    <row r="96" spans="1:21" ht="20.25" customHeight="1" x14ac:dyDescent="0.35">
      <c r="A96" s="225">
        <v>39904</v>
      </c>
      <c r="B96" s="225">
        <v>40086</v>
      </c>
      <c r="C96" s="226"/>
      <c r="D96" s="213">
        <f t="shared" si="4"/>
        <v>6</v>
      </c>
      <c r="E96" s="227"/>
      <c r="F96" s="227"/>
      <c r="G96" s="455"/>
      <c r="H96" s="456"/>
    </row>
    <row r="97" spans="1:21" ht="20.25" customHeight="1" x14ac:dyDescent="0.35">
      <c r="A97" s="225">
        <v>40087</v>
      </c>
      <c r="B97" s="225">
        <v>40268</v>
      </c>
      <c r="C97" s="226"/>
      <c r="D97" s="213">
        <f t="shared" si="4"/>
        <v>6</v>
      </c>
      <c r="E97" s="227"/>
      <c r="F97" s="227"/>
      <c r="G97" s="455"/>
      <c r="H97" s="456"/>
    </row>
    <row r="98" spans="1:21" ht="20.25" customHeight="1" x14ac:dyDescent="0.35">
      <c r="A98" s="225">
        <v>40269</v>
      </c>
      <c r="B98" s="225">
        <v>40451</v>
      </c>
      <c r="C98" s="226"/>
      <c r="D98" s="213">
        <f t="shared" si="4"/>
        <v>6</v>
      </c>
      <c r="E98" s="227"/>
      <c r="F98" s="227"/>
      <c r="G98" s="455"/>
      <c r="H98" s="456"/>
      <c r="K98" s="1"/>
      <c r="U98" s="1"/>
    </row>
    <row r="99" spans="1:21" ht="20.25" customHeight="1" x14ac:dyDescent="0.35">
      <c r="A99" s="225">
        <v>40452</v>
      </c>
      <c r="B99" s="225">
        <v>40633</v>
      </c>
      <c r="C99" s="226"/>
      <c r="D99" s="213">
        <f t="shared" si="4"/>
        <v>6</v>
      </c>
      <c r="E99" s="227"/>
      <c r="F99" s="227"/>
      <c r="G99" s="455"/>
      <c r="H99" s="456"/>
      <c r="K99" s="1"/>
      <c r="U99" s="1"/>
    </row>
    <row r="100" spans="1:21" ht="20.25" customHeight="1" x14ac:dyDescent="0.35">
      <c r="A100" s="225">
        <v>40634</v>
      </c>
      <c r="B100" s="225">
        <v>40816</v>
      </c>
      <c r="C100" s="226"/>
      <c r="D100" s="213">
        <f t="shared" si="4"/>
        <v>6</v>
      </c>
      <c r="E100" s="227"/>
      <c r="F100" s="227"/>
      <c r="G100" s="455"/>
      <c r="H100" s="456"/>
      <c r="K100" s="1"/>
      <c r="U100" s="1"/>
    </row>
    <row r="101" spans="1:21" ht="20.25" customHeight="1" x14ac:dyDescent="0.35">
      <c r="A101" s="225">
        <v>40817</v>
      </c>
      <c r="B101" s="225">
        <v>40999</v>
      </c>
      <c r="C101" s="226"/>
      <c r="D101" s="213">
        <f t="shared" si="4"/>
        <v>6</v>
      </c>
      <c r="E101" s="227"/>
      <c r="F101" s="227"/>
      <c r="G101" s="455"/>
      <c r="H101" s="456"/>
      <c r="K101" s="1"/>
      <c r="U101" s="1"/>
    </row>
    <row r="102" spans="1:21" ht="20.25" customHeight="1" x14ac:dyDescent="0.35">
      <c r="A102" s="225">
        <v>41000</v>
      </c>
      <c r="B102" s="225">
        <v>41182</v>
      </c>
      <c r="C102" s="226"/>
      <c r="D102" s="213">
        <f t="shared" si="4"/>
        <v>6</v>
      </c>
      <c r="E102" s="227"/>
      <c r="F102" s="227"/>
      <c r="G102" s="455"/>
      <c r="H102" s="456"/>
      <c r="K102" s="1"/>
      <c r="U102" s="1"/>
    </row>
    <row r="103" spans="1:21" ht="20.25" customHeight="1" x14ac:dyDescent="0.35">
      <c r="A103" s="225">
        <v>41183</v>
      </c>
      <c r="B103" s="225">
        <v>41364</v>
      </c>
      <c r="C103" s="226"/>
      <c r="D103" s="213">
        <f t="shared" si="4"/>
        <v>6</v>
      </c>
      <c r="E103" s="227"/>
      <c r="F103" s="227"/>
      <c r="G103" s="455"/>
      <c r="H103" s="456"/>
      <c r="K103" s="1"/>
      <c r="U103" s="1"/>
    </row>
    <row r="104" spans="1:21" ht="20.25" customHeight="1" x14ac:dyDescent="0.35">
      <c r="A104" s="225">
        <v>41365</v>
      </c>
      <c r="B104" s="225">
        <v>41394</v>
      </c>
      <c r="C104" s="226"/>
      <c r="D104" s="213">
        <f t="shared" si="4"/>
        <v>1</v>
      </c>
      <c r="E104" s="227"/>
      <c r="F104" s="227"/>
      <c r="G104" s="455"/>
      <c r="H104" s="456"/>
      <c r="K104" s="1"/>
      <c r="U104" s="1"/>
    </row>
    <row r="105" spans="1:21" ht="20.25" customHeight="1" x14ac:dyDescent="0.2">
      <c r="A105" s="221"/>
      <c r="B105" s="222" t="s">
        <v>68</v>
      </c>
      <c r="C105" s="223"/>
      <c r="D105" s="224">
        <f>SUM(D94:D104)</f>
        <v>60</v>
      </c>
      <c r="E105" s="221"/>
      <c r="F105" s="221"/>
      <c r="G105" s="221"/>
      <c r="H105" s="221"/>
      <c r="K105" s="1"/>
      <c r="U105" s="1"/>
    </row>
    <row r="106" spans="1:21" ht="20.25" customHeight="1" x14ac:dyDescent="0.2">
      <c r="A106" s="221"/>
      <c r="B106" s="228"/>
      <c r="C106" s="229"/>
      <c r="D106" s="230"/>
      <c r="E106" s="221"/>
      <c r="F106" s="221"/>
      <c r="G106" s="221"/>
      <c r="H106" s="221"/>
      <c r="K106" s="1"/>
      <c r="U106" s="1"/>
    </row>
    <row r="107" spans="1:21" ht="20.25" customHeight="1" x14ac:dyDescent="0.2">
      <c r="A107" s="221"/>
      <c r="B107" s="228"/>
      <c r="C107" s="229"/>
      <c r="D107" s="230"/>
      <c r="E107" s="221"/>
      <c r="F107" s="221"/>
      <c r="G107" s="221"/>
      <c r="H107" s="221"/>
      <c r="K107" s="1"/>
      <c r="U107" s="1"/>
    </row>
    <row r="108" spans="1:21" ht="20.25" customHeight="1" x14ac:dyDescent="0.2">
      <c r="A108" s="221"/>
      <c r="B108" s="228"/>
      <c r="C108" s="229"/>
      <c r="D108" s="230"/>
      <c r="E108" s="221"/>
      <c r="F108" s="221"/>
      <c r="G108" s="221"/>
      <c r="H108" s="221"/>
      <c r="K108" s="1"/>
      <c r="U108" s="1"/>
    </row>
    <row r="109" spans="1:21" ht="26.25" customHeight="1" x14ac:dyDescent="0.55000000000000004">
      <c r="A109" s="204" t="s">
        <v>72</v>
      </c>
      <c r="B109" s="228"/>
      <c r="C109" s="229"/>
      <c r="D109" s="230"/>
      <c r="E109" s="221"/>
      <c r="F109" s="221"/>
      <c r="G109" s="221"/>
      <c r="H109" s="221"/>
      <c r="K109" s="1"/>
      <c r="U109" s="1"/>
    </row>
    <row r="110" spans="1:21" ht="25.5" customHeight="1" x14ac:dyDescent="0.55000000000000004">
      <c r="A110" s="204" t="s">
        <v>73</v>
      </c>
      <c r="B110" s="228"/>
      <c r="C110" s="229"/>
      <c r="D110" s="230"/>
      <c r="E110" s="221"/>
      <c r="F110" s="221"/>
      <c r="G110" s="221"/>
      <c r="H110" s="221"/>
      <c r="K110" s="1"/>
      <c r="U110" s="1"/>
    </row>
    <row r="111" spans="1:21" ht="25.5" customHeight="1" x14ac:dyDescent="0.55000000000000004">
      <c r="A111" s="204" t="s">
        <v>74</v>
      </c>
      <c r="B111" s="228"/>
      <c r="C111" s="229"/>
      <c r="D111" s="230"/>
      <c r="E111" s="221"/>
      <c r="F111" s="221"/>
      <c r="G111" s="221"/>
      <c r="H111" s="221"/>
      <c r="K111" s="1"/>
      <c r="U111" s="1"/>
    </row>
    <row r="112" spans="1:21" ht="25.5" customHeight="1" x14ac:dyDescent="0.55000000000000004">
      <c r="A112" s="204" t="s">
        <v>75</v>
      </c>
      <c r="B112" s="228"/>
      <c r="C112" s="229"/>
      <c r="D112" s="230"/>
      <c r="E112" s="221"/>
      <c r="F112" s="221"/>
      <c r="G112" s="221"/>
      <c r="H112" s="221"/>
      <c r="K112" s="1"/>
      <c r="U112" s="1"/>
    </row>
    <row r="113" spans="1:21" ht="8.25" customHeight="1" x14ac:dyDescent="0.2">
      <c r="A113" s="221"/>
      <c r="B113" s="228"/>
      <c r="C113" s="229"/>
      <c r="D113" s="230"/>
      <c r="E113" s="221"/>
      <c r="F113" s="221"/>
      <c r="G113" s="221"/>
      <c r="H113" s="221"/>
      <c r="K113" s="1"/>
      <c r="U113" s="1"/>
    </row>
    <row r="114" spans="1:21" ht="21" customHeight="1" x14ac:dyDescent="0.65">
      <c r="A114" s="207" t="s">
        <v>6</v>
      </c>
      <c r="B114" s="207" t="s">
        <v>7</v>
      </c>
      <c r="C114" s="207"/>
      <c r="D114" s="207" t="s">
        <v>23</v>
      </c>
      <c r="E114" s="208"/>
      <c r="F114" s="208"/>
      <c r="G114" s="457" t="s">
        <v>24</v>
      </c>
      <c r="H114" s="458"/>
      <c r="K114" s="1"/>
      <c r="U114" s="1"/>
    </row>
    <row r="115" spans="1:21" ht="20.25" customHeight="1" x14ac:dyDescent="0.35">
      <c r="A115" s="225">
        <v>39569</v>
      </c>
      <c r="B115" s="225">
        <v>39721</v>
      </c>
      <c r="C115" s="226"/>
      <c r="D115" s="213">
        <f t="shared" ref="D115:D126" si="5">IF(A115&gt;0,MONTH(B115-A115),0)</f>
        <v>5</v>
      </c>
      <c r="E115" s="227"/>
      <c r="F115" s="227"/>
      <c r="G115" s="455">
        <v>19080</v>
      </c>
      <c r="H115" s="456"/>
      <c r="K115" s="1"/>
      <c r="U115" s="1"/>
    </row>
    <row r="116" spans="1:21" ht="20.25" customHeight="1" x14ac:dyDescent="0.35">
      <c r="A116" s="225">
        <v>39722</v>
      </c>
      <c r="B116" s="225">
        <v>39903</v>
      </c>
      <c r="C116" s="226"/>
      <c r="D116" s="213">
        <f t="shared" si="5"/>
        <v>6</v>
      </c>
      <c r="E116" s="227"/>
      <c r="F116" s="227"/>
      <c r="G116" s="455">
        <v>19720</v>
      </c>
      <c r="H116" s="456"/>
      <c r="K116" s="1"/>
      <c r="U116" s="1"/>
    </row>
    <row r="117" spans="1:21" ht="20.25" customHeight="1" x14ac:dyDescent="0.35">
      <c r="A117" s="225">
        <v>39904</v>
      </c>
      <c r="B117" s="225">
        <v>40086</v>
      </c>
      <c r="C117" s="226"/>
      <c r="D117" s="213">
        <f t="shared" si="5"/>
        <v>6</v>
      </c>
      <c r="E117" s="227"/>
      <c r="F117" s="227"/>
      <c r="G117" s="455">
        <v>21980</v>
      </c>
      <c r="H117" s="456"/>
      <c r="K117" s="1"/>
      <c r="U117" s="1"/>
    </row>
    <row r="118" spans="1:21" ht="20.25" customHeight="1" x14ac:dyDescent="0.35">
      <c r="A118" s="225">
        <v>40087</v>
      </c>
      <c r="B118" s="225">
        <v>40178</v>
      </c>
      <c r="C118" s="226"/>
      <c r="D118" s="213">
        <f t="shared" si="5"/>
        <v>3</v>
      </c>
      <c r="E118" s="227"/>
      <c r="F118" s="227"/>
      <c r="G118" s="455">
        <v>22420</v>
      </c>
      <c r="H118" s="456"/>
      <c r="K118" s="1"/>
      <c r="U118" s="1"/>
    </row>
    <row r="119" spans="1:21" ht="20.25" customHeight="1" x14ac:dyDescent="0.35">
      <c r="A119" s="225">
        <v>40179</v>
      </c>
      <c r="B119" s="225">
        <v>40268</v>
      </c>
      <c r="C119" s="226"/>
      <c r="D119" s="213">
        <f t="shared" si="5"/>
        <v>3</v>
      </c>
      <c r="E119" s="227"/>
      <c r="F119" s="227"/>
      <c r="G119" s="455">
        <v>22840</v>
      </c>
      <c r="H119" s="456"/>
      <c r="K119" s="1"/>
      <c r="U119" s="1"/>
    </row>
    <row r="120" spans="1:21" ht="20.25" customHeight="1" x14ac:dyDescent="0.35">
      <c r="A120" s="225">
        <v>40269</v>
      </c>
      <c r="B120" s="225">
        <v>40451</v>
      </c>
      <c r="C120" s="226"/>
      <c r="D120" s="213">
        <f t="shared" si="5"/>
        <v>6</v>
      </c>
      <c r="E120" s="227"/>
      <c r="F120" s="227"/>
      <c r="G120" s="455">
        <v>23180</v>
      </c>
      <c r="H120" s="456"/>
      <c r="K120" s="1"/>
      <c r="U120" s="1"/>
    </row>
    <row r="121" spans="1:21" ht="20.25" customHeight="1" x14ac:dyDescent="0.35">
      <c r="A121" s="225">
        <v>40452</v>
      </c>
      <c r="B121" s="225">
        <v>40633</v>
      </c>
      <c r="C121" s="226"/>
      <c r="D121" s="213">
        <f t="shared" si="5"/>
        <v>6</v>
      </c>
      <c r="E121" s="227"/>
      <c r="F121" s="227"/>
      <c r="G121" s="455"/>
      <c r="H121" s="456"/>
      <c r="K121" s="1"/>
      <c r="U121" s="1"/>
    </row>
    <row r="122" spans="1:21" ht="20.25" customHeight="1" x14ac:dyDescent="0.35">
      <c r="A122" s="225">
        <v>40634</v>
      </c>
      <c r="B122" s="225">
        <v>40816</v>
      </c>
      <c r="C122" s="226"/>
      <c r="D122" s="213">
        <f t="shared" si="5"/>
        <v>6</v>
      </c>
      <c r="E122" s="227"/>
      <c r="F122" s="227"/>
      <c r="G122" s="455"/>
      <c r="H122" s="456"/>
      <c r="K122" s="1"/>
      <c r="U122" s="1"/>
    </row>
    <row r="123" spans="1:21" ht="20.25" customHeight="1" x14ac:dyDescent="0.35">
      <c r="A123" s="225">
        <v>40817</v>
      </c>
      <c r="B123" s="225">
        <v>40999</v>
      </c>
      <c r="C123" s="226"/>
      <c r="D123" s="213">
        <f t="shared" si="5"/>
        <v>6</v>
      </c>
      <c r="E123" s="227"/>
      <c r="F123" s="227"/>
      <c r="G123" s="455"/>
      <c r="H123" s="456"/>
      <c r="K123" s="1"/>
      <c r="U123" s="1"/>
    </row>
    <row r="124" spans="1:21" ht="20.25" customHeight="1" x14ac:dyDescent="0.35">
      <c r="A124" s="225">
        <v>41000</v>
      </c>
      <c r="B124" s="225">
        <v>41182</v>
      </c>
      <c r="C124" s="226"/>
      <c r="D124" s="213">
        <f t="shared" si="5"/>
        <v>6</v>
      </c>
      <c r="E124" s="227"/>
      <c r="F124" s="227"/>
      <c r="G124" s="455"/>
      <c r="H124" s="456"/>
      <c r="K124" s="1"/>
      <c r="U124" s="1"/>
    </row>
    <row r="125" spans="1:21" ht="20.25" customHeight="1" x14ac:dyDescent="0.35">
      <c r="A125" s="225">
        <v>41183</v>
      </c>
      <c r="B125" s="225">
        <v>41364</v>
      </c>
      <c r="C125" s="226"/>
      <c r="D125" s="213">
        <f t="shared" si="5"/>
        <v>6</v>
      </c>
      <c r="E125" s="227"/>
      <c r="F125" s="227"/>
      <c r="G125" s="455"/>
      <c r="H125" s="456"/>
      <c r="K125" s="1"/>
      <c r="U125" s="1"/>
    </row>
    <row r="126" spans="1:21" ht="20.25" customHeight="1" x14ac:dyDescent="0.35">
      <c r="A126" s="225">
        <v>41365</v>
      </c>
      <c r="B126" s="225">
        <v>41394</v>
      </c>
      <c r="C126" s="226"/>
      <c r="D126" s="213">
        <f t="shared" si="5"/>
        <v>1</v>
      </c>
      <c r="E126" s="227"/>
      <c r="F126" s="227"/>
      <c r="G126" s="455"/>
      <c r="H126" s="456"/>
      <c r="K126" s="1"/>
      <c r="U126" s="1"/>
    </row>
    <row r="127" spans="1:21" ht="20.25" customHeight="1" x14ac:dyDescent="0.2">
      <c r="A127" s="221"/>
      <c r="B127" s="222" t="s">
        <v>68</v>
      </c>
      <c r="C127" s="223"/>
      <c r="D127" s="224">
        <f>SUM(D115:D126)</f>
        <v>60</v>
      </c>
      <c r="E127" s="221"/>
      <c r="F127" s="221"/>
      <c r="G127" s="221"/>
      <c r="H127" s="221"/>
      <c r="K127" s="1"/>
      <c r="U127" s="1"/>
    </row>
    <row r="128" spans="1:21" ht="9" customHeight="1" x14ac:dyDescent="0.2">
      <c r="A128" s="221"/>
      <c r="B128" s="228"/>
      <c r="C128" s="229"/>
      <c r="D128" s="230"/>
      <c r="E128" s="221"/>
      <c r="F128" s="221"/>
      <c r="G128" s="221"/>
      <c r="H128" s="221"/>
      <c r="K128" s="1"/>
      <c r="U128" s="1"/>
    </row>
    <row r="129" spans="1:21" ht="26.25" customHeight="1" x14ac:dyDescent="0.55000000000000004">
      <c r="A129" s="204" t="s">
        <v>226</v>
      </c>
      <c r="B129" s="228"/>
      <c r="C129" s="229"/>
      <c r="D129" s="230"/>
      <c r="E129" s="221"/>
      <c r="F129" s="221"/>
      <c r="G129" s="221"/>
      <c r="H129" s="221"/>
      <c r="K129" s="1"/>
      <c r="U129" s="1"/>
    </row>
    <row r="130" spans="1:21" ht="25.5" customHeight="1" x14ac:dyDescent="0.55000000000000004">
      <c r="A130" s="204" t="s">
        <v>177</v>
      </c>
      <c r="B130" s="228"/>
      <c r="C130" s="229"/>
      <c r="D130" s="230"/>
      <c r="E130" s="221"/>
      <c r="F130" s="221"/>
      <c r="G130" s="221"/>
      <c r="H130" s="221"/>
      <c r="K130" s="1"/>
      <c r="U130" s="1"/>
    </row>
    <row r="131" spans="1:21" ht="24.75" customHeight="1" x14ac:dyDescent="0.55000000000000004">
      <c r="A131" s="204" t="s">
        <v>223</v>
      </c>
      <c r="B131" s="228"/>
      <c r="C131" s="229"/>
      <c r="D131" s="230"/>
      <c r="E131" s="221"/>
      <c r="F131" s="221"/>
      <c r="G131" s="221"/>
      <c r="H131" s="221"/>
      <c r="K131" s="1"/>
      <c r="U131" s="1"/>
    </row>
    <row r="132" spans="1:21" ht="24.75" customHeight="1" x14ac:dyDescent="0.55000000000000004">
      <c r="A132" s="204" t="s">
        <v>191</v>
      </c>
      <c r="B132" s="228"/>
      <c r="C132" s="229"/>
      <c r="D132" s="230"/>
      <c r="E132" s="221"/>
      <c r="F132" s="221"/>
      <c r="G132" s="221"/>
      <c r="H132" s="221"/>
      <c r="K132" s="1"/>
      <c r="U132" s="1"/>
    </row>
    <row r="133" spans="1:21" ht="24.75" customHeight="1" x14ac:dyDescent="0.55000000000000004">
      <c r="A133" s="355" t="s">
        <v>176</v>
      </c>
      <c r="B133" s="204" t="s">
        <v>189</v>
      </c>
      <c r="C133" s="229"/>
      <c r="D133" s="230"/>
      <c r="E133" s="221"/>
      <c r="F133" s="221"/>
      <c r="G133" s="221"/>
      <c r="H133" s="221"/>
      <c r="K133" s="1"/>
      <c r="U133" s="1"/>
    </row>
    <row r="134" spans="1:21" ht="24.75" customHeight="1" x14ac:dyDescent="0.55000000000000004">
      <c r="A134" s="355" t="s">
        <v>176</v>
      </c>
      <c r="B134" s="204" t="s">
        <v>190</v>
      </c>
      <c r="C134" s="229"/>
      <c r="D134" s="230"/>
      <c r="E134" s="221"/>
      <c r="F134" s="221"/>
      <c r="G134" s="221"/>
      <c r="H134" s="221"/>
      <c r="K134" s="1"/>
      <c r="U134" s="1"/>
    </row>
    <row r="135" spans="1:21" ht="24.75" customHeight="1" x14ac:dyDescent="0.55000000000000004">
      <c r="A135" s="355" t="s">
        <v>176</v>
      </c>
      <c r="B135" s="204" t="s">
        <v>179</v>
      </c>
      <c r="K135" s="1"/>
      <c r="U135" s="1"/>
    </row>
    <row r="136" spans="1:21" ht="24.75" customHeight="1" x14ac:dyDescent="0.55000000000000004">
      <c r="A136" s="231" t="s">
        <v>224</v>
      </c>
      <c r="B136" s="204"/>
      <c r="K136" s="1"/>
      <c r="U136" s="1"/>
    </row>
    <row r="137" spans="1:21" ht="24.75" customHeight="1" x14ac:dyDescent="0.55000000000000004">
      <c r="A137" s="231" t="s">
        <v>225</v>
      </c>
      <c r="B137" s="204"/>
      <c r="K137" s="1"/>
      <c r="U137" s="1"/>
    </row>
    <row r="138" spans="1:21" ht="26.25" x14ac:dyDescent="0.55000000000000004">
      <c r="A138" s="204" t="s">
        <v>78</v>
      </c>
      <c r="K138" s="1"/>
      <c r="U138" s="1"/>
    </row>
    <row r="139" spans="1:21" ht="25.5" customHeight="1" x14ac:dyDescent="0.55000000000000004">
      <c r="A139" s="204" t="s">
        <v>99</v>
      </c>
      <c r="K139" s="1"/>
      <c r="U139" s="1"/>
    </row>
    <row r="140" spans="1:21" ht="25.5" customHeight="1" x14ac:dyDescent="0.55000000000000004">
      <c r="A140" s="204" t="s">
        <v>79</v>
      </c>
      <c r="K140" s="1"/>
      <c r="U140" s="1"/>
    </row>
    <row r="141" spans="1:21" ht="25.5" customHeight="1" x14ac:dyDescent="0.55000000000000004">
      <c r="A141" s="204" t="s">
        <v>80</v>
      </c>
      <c r="K141" s="1"/>
      <c r="U141" s="1"/>
    </row>
    <row r="142" spans="1:21" ht="25.5" customHeight="1" x14ac:dyDescent="0.55000000000000004">
      <c r="A142" s="204" t="s">
        <v>81</v>
      </c>
      <c r="K142" s="1"/>
      <c r="U142" s="1"/>
    </row>
    <row r="143" spans="1:21" ht="21.75" customHeight="1" x14ac:dyDescent="0.2">
      <c r="A143" s="232"/>
      <c r="K143" s="1"/>
      <c r="U143" s="1"/>
    </row>
    <row r="144" spans="1:21" ht="20.25" customHeight="1" x14ac:dyDescent="0.2">
      <c r="A144" s="232"/>
      <c r="K144" s="1"/>
      <c r="U144" s="1"/>
    </row>
  </sheetData>
  <sheetProtection algorithmName="SHA-512" hashValue="JZwoJmGHdSA9UujE3cszLvyidmyrtKfBCIVBE/9M/TwIIYeZVx5WimteLSv03yNqHagQ4e6tac+DKaNQfk39bw==" saltValue="482y5GLiJcvTPp+oPEYoEg==" spinCount="100000" sheet="1" objects="1" scenarios="1" selectLockedCells="1" selectUnlockedCells="1"/>
  <mergeCells count="87">
    <mergeCell ref="A12:B12"/>
    <mergeCell ref="A1:U1"/>
    <mergeCell ref="A2:U2"/>
    <mergeCell ref="A3:P3"/>
    <mergeCell ref="A4:U4"/>
    <mergeCell ref="A5:B5"/>
    <mergeCell ref="H5:P6"/>
    <mergeCell ref="A6:B6"/>
    <mergeCell ref="A7:B7"/>
    <mergeCell ref="A8:B8"/>
    <mergeCell ref="A9:B9"/>
    <mergeCell ref="A10:B10"/>
    <mergeCell ref="A11:B11"/>
    <mergeCell ref="G23:H23"/>
    <mergeCell ref="K23:L23"/>
    <mergeCell ref="G24:H24"/>
    <mergeCell ref="K24:L24"/>
    <mergeCell ref="G25:H25"/>
    <mergeCell ref="K25:L25"/>
    <mergeCell ref="G26:H26"/>
    <mergeCell ref="K26:L26"/>
    <mergeCell ref="G27:H27"/>
    <mergeCell ref="K27:L27"/>
    <mergeCell ref="G28:H28"/>
    <mergeCell ref="K28:L28"/>
    <mergeCell ref="G68:H68"/>
    <mergeCell ref="G35:H35"/>
    <mergeCell ref="G36:H36"/>
    <mergeCell ref="K36:L36"/>
    <mergeCell ref="G29:H29"/>
    <mergeCell ref="K29:L29"/>
    <mergeCell ref="G30:H30"/>
    <mergeCell ref="K30:L30"/>
    <mergeCell ref="G31:H31"/>
    <mergeCell ref="K31:L31"/>
    <mergeCell ref="G32:H32"/>
    <mergeCell ref="K32:L32"/>
    <mergeCell ref="G33:H33"/>
    <mergeCell ref="K33:L33"/>
    <mergeCell ref="G34:H34"/>
    <mergeCell ref="G99:H99"/>
    <mergeCell ref="A37:B37"/>
    <mergeCell ref="D38:L38"/>
    <mergeCell ref="A56:K56"/>
    <mergeCell ref="G84:H84"/>
    <mergeCell ref="G69:H69"/>
    <mergeCell ref="G70:H70"/>
    <mergeCell ref="G71:H71"/>
    <mergeCell ref="G72:H72"/>
    <mergeCell ref="G77:H77"/>
    <mergeCell ref="G78:H78"/>
    <mergeCell ref="G79:H79"/>
    <mergeCell ref="G80:H80"/>
    <mergeCell ref="G81:H81"/>
    <mergeCell ref="G82:H82"/>
    <mergeCell ref="G83:H83"/>
    <mergeCell ref="G124:H124"/>
    <mergeCell ref="G125:H125"/>
    <mergeCell ref="G126:H126"/>
    <mergeCell ref="G121:H121"/>
    <mergeCell ref="G101:H101"/>
    <mergeCell ref="G102:H102"/>
    <mergeCell ref="G103:H103"/>
    <mergeCell ref="G104:H104"/>
    <mergeCell ref="G114:H114"/>
    <mergeCell ref="G115:H115"/>
    <mergeCell ref="G116:H116"/>
    <mergeCell ref="G117:H117"/>
    <mergeCell ref="G118:H118"/>
    <mergeCell ref="G119:H119"/>
    <mergeCell ref="G120:H120"/>
    <mergeCell ref="A15:G15"/>
    <mergeCell ref="H15:I15"/>
    <mergeCell ref="K15:L15"/>
    <mergeCell ref="G122:H122"/>
    <mergeCell ref="G123:H123"/>
    <mergeCell ref="G100:H100"/>
    <mergeCell ref="G85:H85"/>
    <mergeCell ref="G86:H86"/>
    <mergeCell ref="G87:H87"/>
    <mergeCell ref="G88:H88"/>
    <mergeCell ref="G93:H93"/>
    <mergeCell ref="G94:H94"/>
    <mergeCell ref="G95:H95"/>
    <mergeCell ref="G96:H96"/>
    <mergeCell ref="G97:H97"/>
    <mergeCell ref="G98:H98"/>
  </mergeCells>
  <pageMargins left="0.39370078740157483" right="0.11811023622047245" top="0.31496062992125984" bottom="0.19685039370078741" header="0.15748031496062992" footer="0.15748031496062992"/>
  <pageSetup paperSize="9" scale="74" orientation="portrait" r:id="rId1"/>
  <headerFooter>
    <oddHeader xml:space="preserve">&amp;R&amp;A / &amp;F      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1"/>
  <sheetViews>
    <sheetView showGridLines="0" showRowColHeaders="0" zoomScale="98" zoomScaleNormal="98" workbookViewId="0">
      <selection activeCell="E17" sqref="E17"/>
    </sheetView>
  </sheetViews>
  <sheetFormatPr defaultRowHeight="14.25" x14ac:dyDescent="0.2"/>
  <cols>
    <col min="1" max="1" width="17.5" style="1" customWidth="1"/>
    <col min="2" max="2" width="16.625" style="1" customWidth="1"/>
    <col min="3" max="3" width="19.875" style="1" hidden="1" customWidth="1"/>
    <col min="4" max="4" width="17.5" style="1" customWidth="1"/>
    <col min="5" max="5" width="17.75" style="1" customWidth="1"/>
    <col min="6" max="6" width="13.125" style="1" customWidth="1"/>
    <col min="7" max="7" width="12.125" style="286" customWidth="1"/>
    <col min="8" max="8" width="11.375" style="1" hidden="1" customWidth="1"/>
    <col min="9" max="9" width="12" style="1" customWidth="1"/>
    <col min="10" max="10" width="11.25" style="1" customWidth="1"/>
    <col min="11" max="11" width="10.375" style="1" customWidth="1"/>
    <col min="12" max="12" width="1.75" style="1" customWidth="1"/>
    <col min="13" max="13" width="10.875" style="1" customWidth="1"/>
    <col min="14" max="14" width="12.125" style="1" customWidth="1"/>
    <col min="15" max="15" width="15.625" style="1" customWidth="1"/>
    <col min="16" max="16384" width="9" style="1"/>
  </cols>
  <sheetData>
    <row r="1" spans="1:15" ht="29.25" customHeight="1" x14ac:dyDescent="0.25">
      <c r="A1" s="511" t="s">
        <v>100</v>
      </c>
      <c r="B1" s="511"/>
      <c r="C1" s="511"/>
      <c r="D1" s="511"/>
      <c r="E1" s="511"/>
      <c r="F1" s="511"/>
      <c r="G1" s="511"/>
      <c r="I1" s="512" t="s">
        <v>101</v>
      </c>
      <c r="J1" s="512"/>
      <c r="K1" s="512"/>
      <c r="L1" s="512"/>
      <c r="M1" s="512"/>
      <c r="N1" s="512"/>
      <c r="O1" s="512"/>
    </row>
    <row r="2" spans="1:15" ht="9.75" customHeight="1" x14ac:dyDescent="0.2">
      <c r="I2" s="512"/>
      <c r="J2" s="512"/>
      <c r="K2" s="512"/>
      <c r="L2" s="512"/>
      <c r="M2" s="512"/>
      <c r="N2" s="512"/>
      <c r="O2" s="512"/>
    </row>
    <row r="3" spans="1:15" ht="51.75" customHeight="1" x14ac:dyDescent="0.2">
      <c r="A3" s="513" t="s">
        <v>102</v>
      </c>
      <c r="B3" s="287" t="s">
        <v>103</v>
      </c>
      <c r="C3" s="287"/>
      <c r="D3" s="287" t="s">
        <v>104</v>
      </c>
      <c r="E3" s="288" t="s">
        <v>105</v>
      </c>
      <c r="F3" s="289" t="s">
        <v>106</v>
      </c>
      <c r="G3" s="290" t="s">
        <v>107</v>
      </c>
      <c r="I3" s="515" t="s">
        <v>108</v>
      </c>
      <c r="J3" s="515"/>
      <c r="K3" s="515"/>
      <c r="L3" s="515"/>
      <c r="M3" s="515"/>
      <c r="N3" s="515"/>
      <c r="O3" s="515"/>
    </row>
    <row r="4" spans="1:15" ht="19.5" customHeight="1" x14ac:dyDescent="0.2">
      <c r="A4" s="514"/>
      <c r="B4" s="291" t="s">
        <v>109</v>
      </c>
      <c r="C4" s="291"/>
      <c r="D4" s="292" t="s">
        <v>110</v>
      </c>
      <c r="E4" s="292" t="s">
        <v>111</v>
      </c>
      <c r="F4" s="292" t="s">
        <v>112</v>
      </c>
      <c r="G4" s="292" t="s">
        <v>113</v>
      </c>
      <c r="I4" s="516" t="s">
        <v>114</v>
      </c>
      <c r="J4" s="507" t="s">
        <v>115</v>
      </c>
      <c r="K4" s="507" t="s">
        <v>116</v>
      </c>
      <c r="L4" s="507"/>
      <c r="M4" s="507"/>
      <c r="N4" s="518" t="s">
        <v>105</v>
      </c>
      <c r="O4" s="518"/>
    </row>
    <row r="5" spans="1:15" ht="53.25" customHeight="1" x14ac:dyDescent="0.2">
      <c r="A5" s="293" t="s">
        <v>117</v>
      </c>
      <c r="B5" s="294">
        <v>24760</v>
      </c>
      <c r="C5" s="295"/>
      <c r="D5" s="296"/>
      <c r="E5" s="296"/>
      <c r="F5" s="297"/>
      <c r="G5" s="298" t="s">
        <v>118</v>
      </c>
      <c r="I5" s="517"/>
      <c r="J5" s="507"/>
      <c r="K5" s="507"/>
      <c r="L5" s="507"/>
      <c r="M5" s="507"/>
      <c r="N5" s="299" t="s">
        <v>115</v>
      </c>
      <c r="O5" s="299" t="s">
        <v>119</v>
      </c>
    </row>
    <row r="6" spans="1:15" ht="25.5" customHeight="1" x14ac:dyDescent="0.2">
      <c r="A6" s="300">
        <v>41365</v>
      </c>
      <c r="B6" s="301">
        <f t="shared" ref="B6:B25" si="0">IF(C6&lt;D6,C6,D6)</f>
        <v>25410</v>
      </c>
      <c r="C6" s="302">
        <f>B5+G6</f>
        <v>25410</v>
      </c>
      <c r="D6" s="303">
        <v>27340</v>
      </c>
      <c r="E6" s="303">
        <v>22220</v>
      </c>
      <c r="F6" s="304">
        <v>2.9</v>
      </c>
      <c r="G6" s="305">
        <f t="shared" ref="G6:G25" si="1">CEILING(H6,10)</f>
        <v>650</v>
      </c>
      <c r="H6" s="306">
        <f t="shared" ref="H6:H25" si="2">E6*F6/100</f>
        <v>644.38</v>
      </c>
      <c r="I6" s="507" t="s">
        <v>120</v>
      </c>
      <c r="J6" s="507" t="s">
        <v>121</v>
      </c>
      <c r="K6" s="307">
        <v>64740</v>
      </c>
      <c r="L6" s="308" t="s">
        <v>122</v>
      </c>
      <c r="M6" s="309">
        <v>69810</v>
      </c>
      <c r="N6" s="310" t="s">
        <v>123</v>
      </c>
      <c r="O6" s="311">
        <v>66460</v>
      </c>
    </row>
    <row r="7" spans="1:15" ht="25.5" customHeight="1" x14ac:dyDescent="0.2">
      <c r="A7" s="300">
        <v>41548</v>
      </c>
      <c r="B7" s="301">
        <f t="shared" si="0"/>
        <v>26040</v>
      </c>
      <c r="C7" s="301">
        <f>B6+G7</f>
        <v>26040</v>
      </c>
      <c r="D7" s="303">
        <v>27340</v>
      </c>
      <c r="E7" s="303">
        <v>22220</v>
      </c>
      <c r="F7" s="304">
        <v>2.8</v>
      </c>
      <c r="G7" s="305">
        <f t="shared" si="1"/>
        <v>630</v>
      </c>
      <c r="H7" s="306">
        <f t="shared" si="2"/>
        <v>622.16</v>
      </c>
      <c r="I7" s="507"/>
      <c r="J7" s="507"/>
      <c r="K7" s="312">
        <v>29980</v>
      </c>
      <c r="L7" s="313" t="s">
        <v>122</v>
      </c>
      <c r="M7" s="314">
        <v>64730</v>
      </c>
      <c r="N7" s="315" t="s">
        <v>124</v>
      </c>
      <c r="O7" s="316">
        <v>64730</v>
      </c>
    </row>
    <row r="8" spans="1:15" ht="25.5" customHeight="1" x14ac:dyDescent="0.2">
      <c r="A8" s="300">
        <v>41730</v>
      </c>
      <c r="B8" s="301">
        <f t="shared" si="0"/>
        <v>26640</v>
      </c>
      <c r="C8" s="301">
        <f>B7+G8</f>
        <v>26640</v>
      </c>
      <c r="D8" s="303">
        <v>27340</v>
      </c>
      <c r="E8" s="303">
        <v>22220</v>
      </c>
      <c r="F8" s="304">
        <v>2.7</v>
      </c>
      <c r="G8" s="305">
        <f t="shared" si="1"/>
        <v>600</v>
      </c>
      <c r="H8" s="306">
        <f t="shared" si="2"/>
        <v>599.94000000000005</v>
      </c>
      <c r="I8" s="507"/>
      <c r="J8" s="507" t="s">
        <v>125</v>
      </c>
      <c r="K8" s="307">
        <v>59360</v>
      </c>
      <c r="L8" s="308" t="s">
        <v>122</v>
      </c>
      <c r="M8" s="309">
        <v>67560</v>
      </c>
      <c r="N8" s="310" t="s">
        <v>123</v>
      </c>
      <c r="O8" s="311">
        <v>63460</v>
      </c>
    </row>
    <row r="9" spans="1:15" ht="25.5" customHeight="1" x14ac:dyDescent="0.2">
      <c r="A9" s="300">
        <v>41913</v>
      </c>
      <c r="B9" s="301">
        <f t="shared" si="0"/>
        <v>27290</v>
      </c>
      <c r="C9" s="301">
        <f>B8+G9</f>
        <v>27290</v>
      </c>
      <c r="D9" s="303">
        <v>27340</v>
      </c>
      <c r="E9" s="303">
        <v>22220</v>
      </c>
      <c r="F9" s="304">
        <v>2.9</v>
      </c>
      <c r="G9" s="305">
        <f t="shared" si="1"/>
        <v>650</v>
      </c>
      <c r="H9" s="306">
        <f t="shared" si="2"/>
        <v>644.38</v>
      </c>
      <c r="I9" s="507"/>
      <c r="J9" s="507"/>
      <c r="K9" s="312">
        <v>24400</v>
      </c>
      <c r="L9" s="313" t="s">
        <v>122</v>
      </c>
      <c r="M9" s="314">
        <v>59350</v>
      </c>
      <c r="N9" s="315" t="s">
        <v>124</v>
      </c>
      <c r="O9" s="316">
        <v>57320</v>
      </c>
    </row>
    <row r="10" spans="1:15" ht="25.5" customHeight="1" x14ac:dyDescent="0.2">
      <c r="A10" s="300">
        <v>42095</v>
      </c>
      <c r="B10" s="301">
        <f t="shared" si="0"/>
        <v>27340</v>
      </c>
      <c r="C10" s="301">
        <f t="shared" ref="C10:C25" si="3">C9+G10</f>
        <v>27920</v>
      </c>
      <c r="D10" s="303">
        <v>27340</v>
      </c>
      <c r="E10" s="303">
        <v>22220</v>
      </c>
      <c r="F10" s="304">
        <v>2.8</v>
      </c>
      <c r="G10" s="305">
        <f t="shared" si="1"/>
        <v>630</v>
      </c>
      <c r="H10" s="306">
        <f t="shared" si="2"/>
        <v>622.16</v>
      </c>
      <c r="I10" s="507" t="s">
        <v>126</v>
      </c>
      <c r="J10" s="507" t="s">
        <v>121</v>
      </c>
      <c r="K10" s="307">
        <v>48420</v>
      </c>
      <c r="L10" s="308" t="s">
        <v>122</v>
      </c>
      <c r="M10" s="309">
        <v>63960</v>
      </c>
      <c r="N10" s="310" t="s">
        <v>123</v>
      </c>
      <c r="O10" s="311">
        <v>56190</v>
      </c>
    </row>
    <row r="11" spans="1:15" ht="25.5" customHeight="1" x14ac:dyDescent="0.2">
      <c r="A11" s="300">
        <v>42278</v>
      </c>
      <c r="B11" s="301">
        <f t="shared" si="0"/>
        <v>28930</v>
      </c>
      <c r="C11" s="301">
        <f t="shared" si="3"/>
        <v>28930</v>
      </c>
      <c r="D11" s="303">
        <v>39630</v>
      </c>
      <c r="E11" s="303">
        <v>33490</v>
      </c>
      <c r="F11" s="304">
        <v>3</v>
      </c>
      <c r="G11" s="305">
        <f t="shared" si="1"/>
        <v>1010</v>
      </c>
      <c r="H11" s="306">
        <f t="shared" si="2"/>
        <v>1004.7</v>
      </c>
      <c r="I11" s="507"/>
      <c r="J11" s="507"/>
      <c r="K11" s="312">
        <v>24400</v>
      </c>
      <c r="L11" s="313" t="s">
        <v>122</v>
      </c>
      <c r="M11" s="314">
        <v>48410</v>
      </c>
      <c r="N11" s="315" t="s">
        <v>124</v>
      </c>
      <c r="O11" s="316">
        <v>48190</v>
      </c>
    </row>
    <row r="12" spans="1:15" ht="25.5" customHeight="1" x14ac:dyDescent="0.2">
      <c r="A12" s="300">
        <v>42461</v>
      </c>
      <c r="B12" s="301">
        <f t="shared" si="0"/>
        <v>29810</v>
      </c>
      <c r="C12" s="301">
        <f t="shared" si="3"/>
        <v>29810</v>
      </c>
      <c r="D12" s="303">
        <v>39630</v>
      </c>
      <c r="E12" s="303">
        <v>33490</v>
      </c>
      <c r="F12" s="304">
        <v>2.6</v>
      </c>
      <c r="G12" s="305">
        <f t="shared" si="1"/>
        <v>880</v>
      </c>
      <c r="H12" s="306">
        <f t="shared" si="2"/>
        <v>870.74</v>
      </c>
      <c r="I12" s="507"/>
      <c r="J12" s="507" t="s">
        <v>125</v>
      </c>
      <c r="K12" s="307">
        <v>40390</v>
      </c>
      <c r="L12" s="308" t="s">
        <v>122</v>
      </c>
      <c r="M12" s="309">
        <v>54090</v>
      </c>
      <c r="N12" s="310" t="s">
        <v>123</v>
      </c>
      <c r="O12" s="311">
        <v>47240</v>
      </c>
    </row>
    <row r="13" spans="1:15" ht="25.5" customHeight="1" x14ac:dyDescent="0.2">
      <c r="A13" s="300">
        <v>42644</v>
      </c>
      <c r="B13" s="301">
        <f t="shared" si="0"/>
        <v>30850</v>
      </c>
      <c r="C13" s="301">
        <f t="shared" si="3"/>
        <v>30850</v>
      </c>
      <c r="D13" s="303">
        <v>39630</v>
      </c>
      <c r="E13" s="303">
        <v>33490</v>
      </c>
      <c r="F13" s="304">
        <v>3.1</v>
      </c>
      <c r="G13" s="305">
        <f t="shared" si="1"/>
        <v>1040</v>
      </c>
      <c r="H13" s="306">
        <f t="shared" si="2"/>
        <v>1038.19</v>
      </c>
      <c r="I13" s="507"/>
      <c r="J13" s="507"/>
      <c r="K13" s="312">
        <v>19860</v>
      </c>
      <c r="L13" s="313" t="s">
        <v>122</v>
      </c>
      <c r="M13" s="314">
        <v>40380</v>
      </c>
      <c r="N13" s="315" t="s">
        <v>124</v>
      </c>
      <c r="O13" s="316">
        <v>33520</v>
      </c>
    </row>
    <row r="14" spans="1:15" ht="25.5" customHeight="1" x14ac:dyDescent="0.2">
      <c r="A14" s="300">
        <v>42826</v>
      </c>
      <c r="B14" s="301">
        <f t="shared" si="0"/>
        <v>31930</v>
      </c>
      <c r="C14" s="301">
        <f t="shared" si="3"/>
        <v>31930</v>
      </c>
      <c r="D14" s="303">
        <v>39630</v>
      </c>
      <c r="E14" s="303">
        <v>33490</v>
      </c>
      <c r="F14" s="304">
        <v>3.2</v>
      </c>
      <c r="G14" s="305">
        <f t="shared" si="1"/>
        <v>1080</v>
      </c>
      <c r="H14" s="306">
        <f t="shared" si="2"/>
        <v>1071.68</v>
      </c>
      <c r="I14" s="507" t="s">
        <v>127</v>
      </c>
      <c r="J14" s="507" t="s">
        <v>128</v>
      </c>
      <c r="K14" s="307">
        <v>56820</v>
      </c>
      <c r="L14" s="308" t="s">
        <v>122</v>
      </c>
      <c r="M14" s="309">
        <v>69810</v>
      </c>
      <c r="N14" s="310" t="s">
        <v>129</v>
      </c>
      <c r="O14" s="311">
        <v>63310</v>
      </c>
    </row>
    <row r="15" spans="1:15" ht="25.5" customHeight="1" x14ac:dyDescent="0.2">
      <c r="A15" s="300">
        <v>43009</v>
      </c>
      <c r="B15" s="301">
        <f t="shared" si="0"/>
        <v>32940</v>
      </c>
      <c r="C15" s="301">
        <f t="shared" si="3"/>
        <v>32940</v>
      </c>
      <c r="D15" s="303">
        <v>39630</v>
      </c>
      <c r="E15" s="303">
        <v>33490</v>
      </c>
      <c r="F15" s="304">
        <v>3</v>
      </c>
      <c r="G15" s="305">
        <f t="shared" si="1"/>
        <v>1010</v>
      </c>
      <c r="H15" s="306">
        <f t="shared" si="2"/>
        <v>1004.7</v>
      </c>
      <c r="I15" s="507"/>
      <c r="J15" s="507"/>
      <c r="K15" s="317">
        <v>29980</v>
      </c>
      <c r="L15" s="318" t="s">
        <v>122</v>
      </c>
      <c r="M15" s="319">
        <v>56810</v>
      </c>
      <c r="N15" s="320" t="s">
        <v>130</v>
      </c>
      <c r="O15" s="321">
        <v>56020</v>
      </c>
    </row>
    <row r="16" spans="1:15" ht="25.5" customHeight="1" x14ac:dyDescent="0.2">
      <c r="A16" s="300">
        <v>43191</v>
      </c>
      <c r="B16" s="301">
        <f t="shared" si="0"/>
        <v>33950</v>
      </c>
      <c r="C16" s="301">
        <f t="shared" si="3"/>
        <v>33950</v>
      </c>
      <c r="D16" s="303">
        <v>39630</v>
      </c>
      <c r="E16" s="303">
        <v>33490</v>
      </c>
      <c r="F16" s="304">
        <v>3</v>
      </c>
      <c r="G16" s="305">
        <f t="shared" si="1"/>
        <v>1010</v>
      </c>
      <c r="H16" s="306">
        <f t="shared" si="2"/>
        <v>1004.7</v>
      </c>
      <c r="I16" s="507"/>
      <c r="J16" s="507"/>
      <c r="K16" s="322">
        <v>56030</v>
      </c>
      <c r="L16" s="323" t="s">
        <v>122</v>
      </c>
      <c r="M16" s="324">
        <v>67560</v>
      </c>
      <c r="N16" s="325" t="s">
        <v>131</v>
      </c>
      <c r="O16" s="326">
        <v>61630</v>
      </c>
    </row>
    <row r="17" spans="1:15" ht="25.5" customHeight="1" x14ac:dyDescent="0.2">
      <c r="A17" s="300">
        <v>43374</v>
      </c>
      <c r="B17" s="301">
        <f t="shared" si="0"/>
        <v>34960</v>
      </c>
      <c r="C17" s="301">
        <f t="shared" si="3"/>
        <v>34960</v>
      </c>
      <c r="D17" s="303">
        <v>39630</v>
      </c>
      <c r="E17" s="303">
        <v>33490</v>
      </c>
      <c r="F17" s="304">
        <v>3</v>
      </c>
      <c r="G17" s="305">
        <f t="shared" si="1"/>
        <v>1010</v>
      </c>
      <c r="H17" s="306">
        <f t="shared" si="2"/>
        <v>1004.7</v>
      </c>
      <c r="I17" s="507"/>
      <c r="J17" s="507"/>
      <c r="K17" s="312">
        <v>29980</v>
      </c>
      <c r="L17" s="313" t="s">
        <v>122</v>
      </c>
      <c r="M17" s="314">
        <v>56020</v>
      </c>
      <c r="N17" s="315" t="s">
        <v>132</v>
      </c>
      <c r="O17" s="316">
        <v>56020</v>
      </c>
    </row>
    <row r="18" spans="1:15" ht="25.5" customHeight="1" x14ac:dyDescent="0.2">
      <c r="A18" s="300">
        <v>43556</v>
      </c>
      <c r="B18" s="301">
        <f t="shared" si="0"/>
        <v>35970</v>
      </c>
      <c r="C18" s="301">
        <f t="shared" si="3"/>
        <v>35970</v>
      </c>
      <c r="D18" s="303">
        <v>39630</v>
      </c>
      <c r="E18" s="303">
        <v>33490</v>
      </c>
      <c r="F18" s="304">
        <v>3</v>
      </c>
      <c r="G18" s="305">
        <f t="shared" si="1"/>
        <v>1010</v>
      </c>
      <c r="H18" s="306">
        <f t="shared" si="2"/>
        <v>1004.7</v>
      </c>
      <c r="I18" s="507"/>
      <c r="J18" s="507" t="s">
        <v>133</v>
      </c>
      <c r="K18" s="307">
        <v>47090</v>
      </c>
      <c r="L18" s="308" t="s">
        <v>122</v>
      </c>
      <c r="M18" s="309">
        <v>62760</v>
      </c>
      <c r="N18" s="310" t="s">
        <v>123</v>
      </c>
      <c r="O18" s="311">
        <v>54920</v>
      </c>
    </row>
    <row r="19" spans="1:15" ht="25.5" customHeight="1" x14ac:dyDescent="0.2">
      <c r="A19" s="300">
        <v>43739</v>
      </c>
      <c r="B19" s="301">
        <f t="shared" si="0"/>
        <v>36980</v>
      </c>
      <c r="C19" s="301">
        <f t="shared" si="3"/>
        <v>36980</v>
      </c>
      <c r="D19" s="303">
        <v>39630</v>
      </c>
      <c r="E19" s="303">
        <v>33490</v>
      </c>
      <c r="F19" s="304">
        <v>3</v>
      </c>
      <c r="G19" s="305">
        <f t="shared" si="1"/>
        <v>1010</v>
      </c>
      <c r="H19" s="306">
        <f t="shared" si="2"/>
        <v>1004.7</v>
      </c>
      <c r="I19" s="507"/>
      <c r="J19" s="507"/>
      <c r="K19" s="312">
        <v>24400</v>
      </c>
      <c r="L19" s="313" t="s">
        <v>122</v>
      </c>
      <c r="M19" s="314">
        <v>47080</v>
      </c>
      <c r="N19" s="315" t="s">
        <v>124</v>
      </c>
      <c r="O19" s="316">
        <v>46260</v>
      </c>
    </row>
    <row r="20" spans="1:15" ht="25.5" customHeight="1" x14ac:dyDescent="0.2">
      <c r="A20" s="300">
        <v>43922</v>
      </c>
      <c r="B20" s="301">
        <f t="shared" si="0"/>
        <v>37990</v>
      </c>
      <c r="C20" s="301">
        <f t="shared" si="3"/>
        <v>37990</v>
      </c>
      <c r="D20" s="303">
        <v>39630</v>
      </c>
      <c r="E20" s="303">
        <v>33490</v>
      </c>
      <c r="F20" s="304">
        <v>3</v>
      </c>
      <c r="G20" s="305">
        <f t="shared" si="1"/>
        <v>1010</v>
      </c>
      <c r="H20" s="306">
        <f t="shared" si="2"/>
        <v>1004.7</v>
      </c>
      <c r="I20" s="507"/>
      <c r="J20" s="510" t="s">
        <v>134</v>
      </c>
      <c r="K20" s="307">
        <v>37620</v>
      </c>
      <c r="L20" s="308" t="s">
        <v>122</v>
      </c>
      <c r="M20" s="309">
        <v>53080</v>
      </c>
      <c r="N20" s="310" t="s">
        <v>123</v>
      </c>
      <c r="O20" s="311">
        <v>45350</v>
      </c>
    </row>
    <row r="21" spans="1:15" ht="25.5" customHeight="1" x14ac:dyDescent="0.2">
      <c r="A21" s="300">
        <v>44105</v>
      </c>
      <c r="B21" s="301">
        <f t="shared" si="0"/>
        <v>39000</v>
      </c>
      <c r="C21" s="301">
        <f t="shared" si="3"/>
        <v>39000</v>
      </c>
      <c r="D21" s="303">
        <v>39630</v>
      </c>
      <c r="E21" s="303">
        <v>33490</v>
      </c>
      <c r="F21" s="304">
        <v>3</v>
      </c>
      <c r="G21" s="305">
        <f t="shared" si="1"/>
        <v>1010</v>
      </c>
      <c r="H21" s="306">
        <f t="shared" si="2"/>
        <v>1004.7</v>
      </c>
      <c r="I21" s="507"/>
      <c r="J21" s="510"/>
      <c r="K21" s="312">
        <v>19860</v>
      </c>
      <c r="L21" s="313" t="s">
        <v>122</v>
      </c>
      <c r="M21" s="314">
        <v>37610</v>
      </c>
      <c r="N21" s="315" t="s">
        <v>124</v>
      </c>
      <c r="O21" s="316">
        <v>33510</v>
      </c>
    </row>
    <row r="22" spans="1:15" ht="25.5" customHeight="1" x14ac:dyDescent="0.2">
      <c r="A22" s="300">
        <v>44287</v>
      </c>
      <c r="B22" s="301">
        <f t="shared" si="0"/>
        <v>39630</v>
      </c>
      <c r="C22" s="301">
        <f t="shared" si="3"/>
        <v>39940</v>
      </c>
      <c r="D22" s="303">
        <v>39630</v>
      </c>
      <c r="E22" s="303">
        <v>33490</v>
      </c>
      <c r="F22" s="304">
        <v>2.8</v>
      </c>
      <c r="G22" s="305">
        <f t="shared" si="1"/>
        <v>940</v>
      </c>
      <c r="H22" s="306">
        <f t="shared" si="2"/>
        <v>937.72</v>
      </c>
      <c r="I22" s="507"/>
      <c r="J22" s="507" t="s">
        <v>135</v>
      </c>
      <c r="K22" s="307">
        <v>27350</v>
      </c>
      <c r="L22" s="308" t="s">
        <v>122</v>
      </c>
      <c r="M22" s="309">
        <v>39630</v>
      </c>
      <c r="N22" s="310" t="s">
        <v>123</v>
      </c>
      <c r="O22" s="311">
        <v>33490</v>
      </c>
    </row>
    <row r="23" spans="1:15" ht="25.5" customHeight="1" x14ac:dyDescent="0.2">
      <c r="A23" s="300">
        <v>44470</v>
      </c>
      <c r="B23" s="301">
        <f t="shared" si="0"/>
        <v>0</v>
      </c>
      <c r="C23" s="301">
        <f t="shared" si="3"/>
        <v>39940</v>
      </c>
      <c r="D23" s="303"/>
      <c r="E23" s="303"/>
      <c r="F23" s="304"/>
      <c r="G23" s="305">
        <f t="shared" si="1"/>
        <v>0</v>
      </c>
      <c r="H23" s="306">
        <f t="shared" si="2"/>
        <v>0</v>
      </c>
      <c r="I23" s="507"/>
      <c r="J23" s="507"/>
      <c r="K23" s="312">
        <v>13160</v>
      </c>
      <c r="L23" s="313" t="s">
        <v>122</v>
      </c>
      <c r="M23" s="314">
        <v>27340</v>
      </c>
      <c r="N23" s="315" t="s">
        <v>124</v>
      </c>
      <c r="O23" s="316">
        <v>22220</v>
      </c>
    </row>
    <row r="24" spans="1:15" ht="25.5" customHeight="1" x14ac:dyDescent="0.2">
      <c r="A24" s="300">
        <v>44652</v>
      </c>
      <c r="B24" s="301">
        <f t="shared" si="0"/>
        <v>0</v>
      </c>
      <c r="C24" s="301">
        <f t="shared" si="3"/>
        <v>39940</v>
      </c>
      <c r="D24" s="303"/>
      <c r="E24" s="303"/>
      <c r="F24" s="304"/>
      <c r="G24" s="305">
        <f t="shared" si="1"/>
        <v>0</v>
      </c>
      <c r="H24" s="306">
        <f t="shared" si="2"/>
        <v>0</v>
      </c>
      <c r="I24" s="507"/>
      <c r="J24" s="507" t="s">
        <v>136</v>
      </c>
      <c r="K24" s="307">
        <v>19120</v>
      </c>
      <c r="L24" s="308" t="s">
        <v>122</v>
      </c>
      <c r="M24" s="309">
        <v>24450</v>
      </c>
      <c r="N24" s="310" t="s">
        <v>123</v>
      </c>
      <c r="O24" s="311">
        <v>21780</v>
      </c>
    </row>
    <row r="25" spans="1:15" ht="25.5" customHeight="1" x14ac:dyDescent="0.2">
      <c r="A25" s="300">
        <v>44835</v>
      </c>
      <c r="B25" s="301">
        <f t="shared" si="0"/>
        <v>0</v>
      </c>
      <c r="C25" s="301">
        <f t="shared" si="3"/>
        <v>39940</v>
      </c>
      <c r="D25" s="303"/>
      <c r="E25" s="303"/>
      <c r="F25" s="304"/>
      <c r="G25" s="305">
        <f t="shared" si="1"/>
        <v>0</v>
      </c>
      <c r="H25" s="306">
        <f t="shared" si="2"/>
        <v>0</v>
      </c>
      <c r="I25" s="507"/>
      <c r="J25" s="507"/>
      <c r="K25" s="312">
        <v>7140</v>
      </c>
      <c r="L25" s="313" t="s">
        <v>122</v>
      </c>
      <c r="M25" s="314">
        <v>19110</v>
      </c>
      <c r="N25" s="315" t="s">
        <v>124</v>
      </c>
      <c r="O25" s="316">
        <v>16440</v>
      </c>
    </row>
    <row r="26" spans="1:15" ht="24" customHeight="1" x14ac:dyDescent="0.2">
      <c r="A26" s="506" t="s">
        <v>137</v>
      </c>
      <c r="B26" s="506"/>
      <c r="C26" s="506"/>
      <c r="D26" s="506"/>
      <c r="E26" s="506"/>
      <c r="F26" s="506"/>
      <c r="G26" s="327"/>
      <c r="I26" s="507" t="s">
        <v>138</v>
      </c>
      <c r="J26" s="507" t="s">
        <v>139</v>
      </c>
      <c r="K26" s="307">
        <v>55500</v>
      </c>
      <c r="L26" s="308" t="s">
        <v>122</v>
      </c>
      <c r="M26" s="309">
        <v>62760</v>
      </c>
      <c r="N26" s="310" t="s">
        <v>123</v>
      </c>
      <c r="O26" s="311">
        <v>59130</v>
      </c>
    </row>
    <row r="27" spans="1:15" ht="24" customHeight="1" x14ac:dyDescent="0.2">
      <c r="A27" s="91" t="s">
        <v>140</v>
      </c>
      <c r="B27" s="91"/>
      <c r="C27" s="91"/>
      <c r="D27" s="91"/>
      <c r="E27" s="91"/>
      <c r="I27" s="507"/>
      <c r="J27" s="507"/>
      <c r="K27" s="312">
        <v>48220</v>
      </c>
      <c r="L27" s="313" t="s">
        <v>122</v>
      </c>
      <c r="M27" s="314">
        <v>55490</v>
      </c>
      <c r="N27" s="315" t="s">
        <v>124</v>
      </c>
      <c r="O27" s="316">
        <v>51860</v>
      </c>
    </row>
    <row r="28" spans="1:15" ht="24" customHeight="1" x14ac:dyDescent="0.2">
      <c r="A28" s="91" t="s">
        <v>141</v>
      </c>
      <c r="B28" s="91"/>
      <c r="C28" s="91"/>
      <c r="D28" s="91"/>
      <c r="E28" s="91"/>
      <c r="I28" s="507"/>
      <c r="J28" s="507" t="s">
        <v>142</v>
      </c>
      <c r="K28" s="307">
        <v>32630</v>
      </c>
      <c r="L28" s="308" t="s">
        <v>122</v>
      </c>
      <c r="M28" s="309">
        <v>49830</v>
      </c>
      <c r="N28" s="310" t="s">
        <v>129</v>
      </c>
      <c r="O28" s="311">
        <v>41230</v>
      </c>
    </row>
    <row r="29" spans="1:15" ht="25.5" customHeight="1" x14ac:dyDescent="0.2">
      <c r="A29" s="91" t="s">
        <v>143</v>
      </c>
      <c r="B29" s="91"/>
      <c r="C29" s="91"/>
      <c r="D29" s="91"/>
      <c r="E29" s="91"/>
      <c r="I29" s="507"/>
      <c r="J29" s="507"/>
      <c r="K29" s="322">
        <v>15410</v>
      </c>
      <c r="L29" s="323" t="s">
        <v>122</v>
      </c>
      <c r="M29" s="324">
        <v>32620</v>
      </c>
      <c r="N29" s="325" t="s">
        <v>130</v>
      </c>
      <c r="O29" s="326">
        <v>29550</v>
      </c>
    </row>
    <row r="30" spans="1:15" ht="25.5" customHeight="1" x14ac:dyDescent="0.2">
      <c r="A30" s="91"/>
      <c r="B30" s="91"/>
      <c r="C30" s="91"/>
      <c r="D30" s="91"/>
      <c r="E30" s="91"/>
      <c r="I30" s="507"/>
      <c r="J30" s="507"/>
      <c r="K30" s="322">
        <v>29560</v>
      </c>
      <c r="L30" s="323" t="s">
        <v>122</v>
      </c>
      <c r="M30" s="324">
        <v>37830</v>
      </c>
      <c r="N30" s="325" t="s">
        <v>131</v>
      </c>
      <c r="O30" s="326">
        <v>32230</v>
      </c>
    </row>
    <row r="31" spans="1:15" ht="25.5" customHeight="1" x14ac:dyDescent="0.2">
      <c r="A31" s="328" t="s">
        <v>144</v>
      </c>
      <c r="B31" s="329"/>
      <c r="C31" s="330"/>
      <c r="D31" s="329"/>
      <c r="I31" s="507"/>
      <c r="J31" s="507"/>
      <c r="K31" s="331">
        <v>15410</v>
      </c>
      <c r="L31" s="332" t="s">
        <v>122</v>
      </c>
      <c r="M31" s="333">
        <v>29550</v>
      </c>
      <c r="N31" s="334" t="s">
        <v>132</v>
      </c>
      <c r="O31" s="335">
        <v>29550</v>
      </c>
    </row>
    <row r="32" spans="1:15" ht="25.5" customHeight="1" x14ac:dyDescent="0.2">
      <c r="A32" s="336" t="s">
        <v>145</v>
      </c>
      <c r="B32" s="142"/>
      <c r="C32" s="143"/>
      <c r="D32" s="142"/>
      <c r="I32" s="507"/>
      <c r="J32" s="508" t="s">
        <v>146</v>
      </c>
      <c r="K32" s="307">
        <v>22720</v>
      </c>
      <c r="L32" s="308" t="s">
        <v>122</v>
      </c>
      <c r="M32" s="309">
        <v>35220</v>
      </c>
      <c r="N32" s="310" t="s">
        <v>123</v>
      </c>
      <c r="O32" s="311">
        <v>28970</v>
      </c>
    </row>
    <row r="33" spans="1:15" ht="25.5" customHeight="1" x14ac:dyDescent="0.2">
      <c r="A33" s="142" t="s">
        <v>147</v>
      </c>
      <c r="B33" s="142"/>
      <c r="C33" s="143"/>
      <c r="D33" s="142"/>
      <c r="I33" s="507"/>
      <c r="J33" s="509"/>
      <c r="K33" s="312">
        <v>10190</v>
      </c>
      <c r="L33" s="313" t="s">
        <v>122</v>
      </c>
      <c r="M33" s="314">
        <v>22710</v>
      </c>
      <c r="N33" s="315" t="s">
        <v>124</v>
      </c>
      <c r="O33" s="316">
        <v>16450</v>
      </c>
    </row>
    <row r="34" spans="1:15" ht="25.5" customHeight="1" x14ac:dyDescent="0.2">
      <c r="A34" s="142" t="s">
        <v>148</v>
      </c>
      <c r="B34" s="142"/>
      <c r="C34" s="143"/>
      <c r="D34" s="142"/>
      <c r="I34" s="507"/>
      <c r="J34" s="507" t="s">
        <v>149</v>
      </c>
      <c r="K34" s="307">
        <v>13720</v>
      </c>
      <c r="L34" s="308" t="s">
        <v>122</v>
      </c>
      <c r="M34" s="309">
        <v>19100</v>
      </c>
      <c r="N34" s="310" t="s">
        <v>123</v>
      </c>
      <c r="O34" s="311">
        <v>16410</v>
      </c>
    </row>
    <row r="35" spans="1:15" ht="24" customHeight="1" x14ac:dyDescent="0.2">
      <c r="A35" s="142" t="s">
        <v>150</v>
      </c>
      <c r="B35" s="142"/>
      <c r="C35" s="143"/>
      <c r="D35" s="142"/>
      <c r="I35" s="507"/>
      <c r="J35" s="507"/>
      <c r="K35" s="312">
        <v>4870</v>
      </c>
      <c r="L35" s="313" t="s">
        <v>122</v>
      </c>
      <c r="M35" s="314">
        <v>13710</v>
      </c>
      <c r="N35" s="315" t="s">
        <v>124</v>
      </c>
      <c r="O35" s="316">
        <v>11020</v>
      </c>
    </row>
    <row r="36" spans="1:15" ht="26.25" customHeight="1" x14ac:dyDescent="0.2">
      <c r="A36" s="142" t="s">
        <v>151</v>
      </c>
      <c r="B36" s="142"/>
      <c r="C36" s="143"/>
      <c r="D36" s="142"/>
    </row>
    <row r="37" spans="1:15" ht="26.25" customHeight="1" x14ac:dyDescent="0.2">
      <c r="A37" s="336" t="s">
        <v>152</v>
      </c>
      <c r="B37" s="142"/>
      <c r="C37" s="143"/>
      <c r="D37" s="142"/>
    </row>
    <row r="38" spans="1:15" ht="22.5" customHeight="1" x14ac:dyDescent="0.2">
      <c r="A38" s="142" t="s">
        <v>153</v>
      </c>
    </row>
    <row r="39" spans="1:15" ht="22.5" customHeight="1" x14ac:dyDescent="0.2">
      <c r="A39" s="142" t="s">
        <v>154</v>
      </c>
    </row>
    <row r="40" spans="1:15" ht="22.5" customHeight="1" x14ac:dyDescent="0.2">
      <c r="A40" s="142" t="s">
        <v>155</v>
      </c>
    </row>
    <row r="41" spans="1:15" ht="22.5" customHeight="1" x14ac:dyDescent="0.2">
      <c r="A41" s="142" t="s">
        <v>156</v>
      </c>
    </row>
  </sheetData>
  <sheetProtection password="DCD1" sheet="1" objects="1" scenarios="1" selectLockedCells="1" selectUnlockedCells="1"/>
  <mergeCells count="26">
    <mergeCell ref="A1:G1"/>
    <mergeCell ref="I1:O2"/>
    <mergeCell ref="A3:A4"/>
    <mergeCell ref="I3:O3"/>
    <mergeCell ref="I4:I5"/>
    <mergeCell ref="J4:J5"/>
    <mergeCell ref="K4:M5"/>
    <mergeCell ref="N4:O4"/>
    <mergeCell ref="I6:I9"/>
    <mergeCell ref="J6:J7"/>
    <mergeCell ref="J8:J9"/>
    <mergeCell ref="I10:I13"/>
    <mergeCell ref="J10:J11"/>
    <mergeCell ref="J12:J13"/>
    <mergeCell ref="I14:I25"/>
    <mergeCell ref="J14:J17"/>
    <mergeCell ref="J18:J19"/>
    <mergeCell ref="J20:J21"/>
    <mergeCell ref="J22:J23"/>
    <mergeCell ref="J24:J25"/>
    <mergeCell ref="A26:F26"/>
    <mergeCell ref="I26:I35"/>
    <mergeCell ref="J26:J27"/>
    <mergeCell ref="J28:J31"/>
    <mergeCell ref="J32:J33"/>
    <mergeCell ref="J34:J35"/>
  </mergeCells>
  <pageMargins left="0.39370078740157483" right="0.15748031496062992" top="0.59055118110236227" bottom="0.35433070866141736" header="0.15748031496062992" footer="0.31496062992125984"/>
  <pageSetup paperSize="9" scale="95" orientation="portrait" r:id="rId1"/>
  <headerFooter>
    <oddHeader xml:space="preserve">&amp;R&amp;A   &amp;F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showGridLines="0" showRowColHeaders="0" workbookViewId="0">
      <selection activeCell="E24" sqref="E24"/>
    </sheetView>
  </sheetViews>
  <sheetFormatPr defaultRowHeight="14.25" x14ac:dyDescent="0.2"/>
  <cols>
    <col min="1" max="1" width="16.75" customWidth="1"/>
    <col min="2" max="2" width="11.75" customWidth="1"/>
    <col min="3" max="3" width="12.875" customWidth="1"/>
    <col min="4" max="4" width="2.5" customWidth="1"/>
    <col min="5" max="5" width="12.5" customWidth="1"/>
    <col min="6" max="6" width="11.75" customWidth="1"/>
    <col min="7" max="7" width="20" customWidth="1"/>
  </cols>
  <sheetData>
    <row r="1" spans="1:7" ht="28.5" customHeight="1" x14ac:dyDescent="0.2">
      <c r="A1" s="519" t="s">
        <v>101</v>
      </c>
      <c r="B1" s="519"/>
      <c r="C1" s="519"/>
      <c r="D1" s="519"/>
      <c r="E1" s="519"/>
      <c r="F1" s="519"/>
      <c r="G1" s="519"/>
    </row>
    <row r="2" spans="1:7" ht="27" customHeight="1" x14ac:dyDescent="0.2">
      <c r="A2" s="520" t="s">
        <v>108</v>
      </c>
      <c r="B2" s="520"/>
      <c r="C2" s="520"/>
      <c r="D2" s="520"/>
      <c r="E2" s="520"/>
      <c r="F2" s="520"/>
      <c r="G2" s="520"/>
    </row>
    <row r="3" spans="1:7" ht="15" x14ac:dyDescent="0.2">
      <c r="A3" s="521" t="s">
        <v>114</v>
      </c>
      <c r="B3" s="523" t="s">
        <v>115</v>
      </c>
      <c r="C3" s="523" t="s">
        <v>116</v>
      </c>
      <c r="D3" s="523"/>
      <c r="E3" s="523"/>
      <c r="F3" s="524" t="s">
        <v>105</v>
      </c>
      <c r="G3" s="524"/>
    </row>
    <row r="4" spans="1:7" ht="20.25" customHeight="1" x14ac:dyDescent="0.2">
      <c r="A4" s="522"/>
      <c r="B4" s="523"/>
      <c r="C4" s="523"/>
      <c r="D4" s="523"/>
      <c r="E4" s="523"/>
      <c r="F4" s="347" t="s">
        <v>115</v>
      </c>
      <c r="G4" s="347" t="s">
        <v>119</v>
      </c>
    </row>
    <row r="5" spans="1:7" ht="23.25" customHeight="1" x14ac:dyDescent="0.2">
      <c r="A5" s="507" t="s">
        <v>120</v>
      </c>
      <c r="B5" s="507" t="s">
        <v>121</v>
      </c>
      <c r="C5" s="307">
        <v>64740</v>
      </c>
      <c r="D5" s="308" t="s">
        <v>122</v>
      </c>
      <c r="E5" s="309">
        <v>69810</v>
      </c>
      <c r="F5" s="310" t="s">
        <v>123</v>
      </c>
      <c r="G5" s="311">
        <v>66460</v>
      </c>
    </row>
    <row r="6" spans="1:7" ht="23.25" customHeight="1" x14ac:dyDescent="0.2">
      <c r="A6" s="507"/>
      <c r="B6" s="507"/>
      <c r="C6" s="312">
        <v>29980</v>
      </c>
      <c r="D6" s="313" t="s">
        <v>122</v>
      </c>
      <c r="E6" s="314">
        <v>64730</v>
      </c>
      <c r="F6" s="315" t="s">
        <v>124</v>
      </c>
      <c r="G6" s="316">
        <v>64730</v>
      </c>
    </row>
    <row r="7" spans="1:7" ht="23.25" customHeight="1" x14ac:dyDescent="0.2">
      <c r="A7" s="507"/>
      <c r="B7" s="507" t="s">
        <v>125</v>
      </c>
      <c r="C7" s="307">
        <v>59360</v>
      </c>
      <c r="D7" s="308" t="s">
        <v>122</v>
      </c>
      <c r="E7" s="309">
        <v>67560</v>
      </c>
      <c r="F7" s="310" t="s">
        <v>123</v>
      </c>
      <c r="G7" s="311">
        <v>63460</v>
      </c>
    </row>
    <row r="8" spans="1:7" ht="23.25" customHeight="1" x14ac:dyDescent="0.2">
      <c r="A8" s="507"/>
      <c r="B8" s="507"/>
      <c r="C8" s="312">
        <v>24400</v>
      </c>
      <c r="D8" s="313" t="s">
        <v>122</v>
      </c>
      <c r="E8" s="314">
        <v>59350</v>
      </c>
      <c r="F8" s="315" t="s">
        <v>124</v>
      </c>
      <c r="G8" s="316">
        <v>57320</v>
      </c>
    </row>
    <row r="9" spans="1:7" ht="23.25" customHeight="1" x14ac:dyDescent="0.2">
      <c r="A9" s="507" t="s">
        <v>126</v>
      </c>
      <c r="B9" s="507" t="s">
        <v>121</v>
      </c>
      <c r="C9" s="307">
        <v>48420</v>
      </c>
      <c r="D9" s="308" t="s">
        <v>122</v>
      </c>
      <c r="E9" s="309">
        <v>63960</v>
      </c>
      <c r="F9" s="310" t="s">
        <v>123</v>
      </c>
      <c r="G9" s="311">
        <v>56190</v>
      </c>
    </row>
    <row r="10" spans="1:7" ht="23.25" customHeight="1" x14ac:dyDescent="0.2">
      <c r="A10" s="507"/>
      <c r="B10" s="507"/>
      <c r="C10" s="312">
        <v>24400</v>
      </c>
      <c r="D10" s="313" t="s">
        <v>122</v>
      </c>
      <c r="E10" s="314">
        <v>48410</v>
      </c>
      <c r="F10" s="315" t="s">
        <v>124</v>
      </c>
      <c r="G10" s="316">
        <v>48190</v>
      </c>
    </row>
    <row r="11" spans="1:7" ht="23.25" customHeight="1" x14ac:dyDescent="0.2">
      <c r="A11" s="507"/>
      <c r="B11" s="507" t="s">
        <v>125</v>
      </c>
      <c r="C11" s="307">
        <v>40390</v>
      </c>
      <c r="D11" s="308" t="s">
        <v>122</v>
      </c>
      <c r="E11" s="309">
        <v>54090</v>
      </c>
      <c r="F11" s="310" t="s">
        <v>123</v>
      </c>
      <c r="G11" s="311">
        <v>47240</v>
      </c>
    </row>
    <row r="12" spans="1:7" ht="23.25" customHeight="1" x14ac:dyDescent="0.2">
      <c r="A12" s="507"/>
      <c r="B12" s="507"/>
      <c r="C12" s="312">
        <v>19860</v>
      </c>
      <c r="D12" s="313" t="s">
        <v>122</v>
      </c>
      <c r="E12" s="314">
        <v>40380</v>
      </c>
      <c r="F12" s="315" t="s">
        <v>124</v>
      </c>
      <c r="G12" s="316">
        <v>33520</v>
      </c>
    </row>
    <row r="13" spans="1:7" ht="23.25" customHeight="1" x14ac:dyDescent="0.2">
      <c r="A13" s="507" t="s">
        <v>127</v>
      </c>
      <c r="B13" s="507" t="s">
        <v>128</v>
      </c>
      <c r="C13" s="307">
        <v>56820</v>
      </c>
      <c r="D13" s="308" t="s">
        <v>122</v>
      </c>
      <c r="E13" s="309">
        <v>69810</v>
      </c>
      <c r="F13" s="310" t="s">
        <v>129</v>
      </c>
      <c r="G13" s="311">
        <v>63310</v>
      </c>
    </row>
    <row r="14" spans="1:7" ht="23.25" customHeight="1" x14ac:dyDescent="0.2">
      <c r="A14" s="507"/>
      <c r="B14" s="507"/>
      <c r="C14" s="317">
        <v>29980</v>
      </c>
      <c r="D14" s="318" t="s">
        <v>122</v>
      </c>
      <c r="E14" s="319">
        <v>56810</v>
      </c>
      <c r="F14" s="320" t="s">
        <v>130</v>
      </c>
      <c r="G14" s="321">
        <v>56020</v>
      </c>
    </row>
    <row r="15" spans="1:7" ht="23.25" customHeight="1" x14ac:dyDescent="0.2">
      <c r="A15" s="507"/>
      <c r="B15" s="507"/>
      <c r="C15" s="322">
        <v>56030</v>
      </c>
      <c r="D15" s="323" t="s">
        <v>122</v>
      </c>
      <c r="E15" s="324">
        <v>67560</v>
      </c>
      <c r="F15" s="325" t="s">
        <v>131</v>
      </c>
      <c r="G15" s="326">
        <v>61630</v>
      </c>
    </row>
    <row r="16" spans="1:7" ht="23.25" customHeight="1" x14ac:dyDescent="0.2">
      <c r="A16" s="507"/>
      <c r="B16" s="507"/>
      <c r="C16" s="312">
        <v>29980</v>
      </c>
      <c r="D16" s="313" t="s">
        <v>122</v>
      </c>
      <c r="E16" s="314">
        <v>56020</v>
      </c>
      <c r="F16" s="315" t="s">
        <v>132</v>
      </c>
      <c r="G16" s="316">
        <v>56020</v>
      </c>
    </row>
    <row r="17" spans="1:7" ht="23.25" customHeight="1" x14ac:dyDescent="0.2">
      <c r="A17" s="507"/>
      <c r="B17" s="507" t="s">
        <v>133</v>
      </c>
      <c r="C17" s="307">
        <v>47090</v>
      </c>
      <c r="D17" s="308" t="s">
        <v>122</v>
      </c>
      <c r="E17" s="309">
        <v>62760</v>
      </c>
      <c r="F17" s="310" t="s">
        <v>123</v>
      </c>
      <c r="G17" s="311">
        <v>54920</v>
      </c>
    </row>
    <row r="18" spans="1:7" ht="23.25" customHeight="1" x14ac:dyDescent="0.2">
      <c r="A18" s="507"/>
      <c r="B18" s="507"/>
      <c r="C18" s="312">
        <v>24400</v>
      </c>
      <c r="D18" s="313" t="s">
        <v>122</v>
      </c>
      <c r="E18" s="314">
        <v>47080</v>
      </c>
      <c r="F18" s="315" t="s">
        <v>124</v>
      </c>
      <c r="G18" s="316">
        <v>46260</v>
      </c>
    </row>
    <row r="19" spans="1:7" ht="23.25" customHeight="1" x14ac:dyDescent="0.2">
      <c r="A19" s="507"/>
      <c r="B19" s="510" t="s">
        <v>134</v>
      </c>
      <c r="C19" s="307">
        <v>37620</v>
      </c>
      <c r="D19" s="308" t="s">
        <v>122</v>
      </c>
      <c r="E19" s="309">
        <v>53080</v>
      </c>
      <c r="F19" s="310" t="s">
        <v>123</v>
      </c>
      <c r="G19" s="311">
        <v>45350</v>
      </c>
    </row>
    <row r="20" spans="1:7" ht="23.25" customHeight="1" x14ac:dyDescent="0.2">
      <c r="A20" s="507"/>
      <c r="B20" s="510"/>
      <c r="C20" s="312">
        <v>19860</v>
      </c>
      <c r="D20" s="313" t="s">
        <v>122</v>
      </c>
      <c r="E20" s="314">
        <v>37610</v>
      </c>
      <c r="F20" s="315" t="s">
        <v>124</v>
      </c>
      <c r="G20" s="316">
        <v>33510</v>
      </c>
    </row>
    <row r="21" spans="1:7" ht="23.25" customHeight="1" x14ac:dyDescent="0.2">
      <c r="A21" s="507"/>
      <c r="B21" s="507" t="s">
        <v>135</v>
      </c>
      <c r="C21" s="307">
        <v>27350</v>
      </c>
      <c r="D21" s="308" t="s">
        <v>122</v>
      </c>
      <c r="E21" s="309">
        <v>39630</v>
      </c>
      <c r="F21" s="310" t="s">
        <v>123</v>
      </c>
      <c r="G21" s="311">
        <v>33490</v>
      </c>
    </row>
    <row r="22" spans="1:7" ht="23.25" customHeight="1" x14ac:dyDescent="0.2">
      <c r="A22" s="507"/>
      <c r="B22" s="507"/>
      <c r="C22" s="312">
        <v>13160</v>
      </c>
      <c r="D22" s="313" t="s">
        <v>122</v>
      </c>
      <c r="E22" s="314">
        <v>27340</v>
      </c>
      <c r="F22" s="315" t="s">
        <v>124</v>
      </c>
      <c r="G22" s="316">
        <v>22220</v>
      </c>
    </row>
    <row r="23" spans="1:7" ht="23.25" customHeight="1" x14ac:dyDescent="0.2">
      <c r="A23" s="507"/>
      <c r="B23" s="507" t="s">
        <v>136</v>
      </c>
      <c r="C23" s="307">
        <v>19120</v>
      </c>
      <c r="D23" s="308" t="s">
        <v>122</v>
      </c>
      <c r="E23" s="309">
        <v>24450</v>
      </c>
      <c r="F23" s="310" t="s">
        <v>123</v>
      </c>
      <c r="G23" s="311">
        <v>21780</v>
      </c>
    </row>
    <row r="24" spans="1:7" ht="23.25" customHeight="1" x14ac:dyDescent="0.2">
      <c r="A24" s="507"/>
      <c r="B24" s="507"/>
      <c r="C24" s="312">
        <v>7140</v>
      </c>
      <c r="D24" s="313" t="s">
        <v>122</v>
      </c>
      <c r="E24" s="314">
        <v>19110</v>
      </c>
      <c r="F24" s="315" t="s">
        <v>124</v>
      </c>
      <c r="G24" s="316">
        <v>16440</v>
      </c>
    </row>
    <row r="25" spans="1:7" ht="23.25" customHeight="1" x14ac:dyDescent="0.2">
      <c r="A25" s="507" t="s">
        <v>138</v>
      </c>
      <c r="B25" s="507" t="s">
        <v>139</v>
      </c>
      <c r="C25" s="307">
        <v>55500</v>
      </c>
      <c r="D25" s="308" t="s">
        <v>122</v>
      </c>
      <c r="E25" s="309">
        <v>62760</v>
      </c>
      <c r="F25" s="310" t="s">
        <v>123</v>
      </c>
      <c r="G25" s="311">
        <v>59130</v>
      </c>
    </row>
    <row r="26" spans="1:7" ht="23.25" customHeight="1" x14ac:dyDescent="0.2">
      <c r="A26" s="507"/>
      <c r="B26" s="507"/>
      <c r="C26" s="312">
        <v>48220</v>
      </c>
      <c r="D26" s="313" t="s">
        <v>122</v>
      </c>
      <c r="E26" s="314">
        <v>55490</v>
      </c>
      <c r="F26" s="315" t="s">
        <v>124</v>
      </c>
      <c r="G26" s="316">
        <v>51860</v>
      </c>
    </row>
    <row r="27" spans="1:7" ht="23.25" customHeight="1" x14ac:dyDescent="0.2">
      <c r="A27" s="507"/>
      <c r="B27" s="507" t="s">
        <v>142</v>
      </c>
      <c r="C27" s="307">
        <v>32630</v>
      </c>
      <c r="D27" s="308" t="s">
        <v>122</v>
      </c>
      <c r="E27" s="309">
        <v>49830</v>
      </c>
      <c r="F27" s="310" t="s">
        <v>129</v>
      </c>
      <c r="G27" s="311">
        <v>41230</v>
      </c>
    </row>
    <row r="28" spans="1:7" ht="23.25" customHeight="1" x14ac:dyDescent="0.2">
      <c r="A28" s="507"/>
      <c r="B28" s="507"/>
      <c r="C28" s="322">
        <v>15410</v>
      </c>
      <c r="D28" s="323" t="s">
        <v>122</v>
      </c>
      <c r="E28" s="324">
        <v>32620</v>
      </c>
      <c r="F28" s="325" t="s">
        <v>130</v>
      </c>
      <c r="G28" s="326">
        <v>29550</v>
      </c>
    </row>
    <row r="29" spans="1:7" ht="23.25" customHeight="1" x14ac:dyDescent="0.2">
      <c r="A29" s="507"/>
      <c r="B29" s="507"/>
      <c r="C29" s="322">
        <v>29560</v>
      </c>
      <c r="D29" s="323" t="s">
        <v>122</v>
      </c>
      <c r="E29" s="324">
        <v>37830</v>
      </c>
      <c r="F29" s="325" t="s">
        <v>131</v>
      </c>
      <c r="G29" s="326">
        <v>32230</v>
      </c>
    </row>
    <row r="30" spans="1:7" ht="23.25" customHeight="1" x14ac:dyDescent="0.2">
      <c r="A30" s="507"/>
      <c r="B30" s="507"/>
      <c r="C30" s="331">
        <v>15410</v>
      </c>
      <c r="D30" s="332" t="s">
        <v>122</v>
      </c>
      <c r="E30" s="333">
        <v>29550</v>
      </c>
      <c r="F30" s="334" t="s">
        <v>132</v>
      </c>
      <c r="G30" s="335">
        <v>29550</v>
      </c>
    </row>
    <row r="31" spans="1:7" ht="23.25" customHeight="1" x14ac:dyDescent="0.2">
      <c r="A31" s="507"/>
      <c r="B31" s="508" t="s">
        <v>146</v>
      </c>
      <c r="C31" s="307">
        <v>22720</v>
      </c>
      <c r="D31" s="308" t="s">
        <v>122</v>
      </c>
      <c r="E31" s="309">
        <v>35220</v>
      </c>
      <c r="F31" s="310" t="s">
        <v>123</v>
      </c>
      <c r="G31" s="311">
        <v>28970</v>
      </c>
    </row>
    <row r="32" spans="1:7" ht="23.25" customHeight="1" x14ac:dyDescent="0.2">
      <c r="A32" s="507"/>
      <c r="B32" s="509"/>
      <c r="C32" s="312">
        <v>10190</v>
      </c>
      <c r="D32" s="313" t="s">
        <v>122</v>
      </c>
      <c r="E32" s="314">
        <v>22710</v>
      </c>
      <c r="F32" s="315" t="s">
        <v>124</v>
      </c>
      <c r="G32" s="316">
        <v>16450</v>
      </c>
    </row>
    <row r="33" spans="1:7" ht="23.25" customHeight="1" x14ac:dyDescent="0.2">
      <c r="A33" s="507"/>
      <c r="B33" s="507" t="s">
        <v>149</v>
      </c>
      <c r="C33" s="307">
        <v>13720</v>
      </c>
      <c r="D33" s="308" t="s">
        <v>122</v>
      </c>
      <c r="E33" s="309">
        <v>19100</v>
      </c>
      <c r="F33" s="310" t="s">
        <v>123</v>
      </c>
      <c r="G33" s="311">
        <v>16410</v>
      </c>
    </row>
    <row r="34" spans="1:7" ht="23.25" customHeight="1" x14ac:dyDescent="0.2">
      <c r="A34" s="507"/>
      <c r="B34" s="507"/>
      <c r="C34" s="312">
        <v>4870</v>
      </c>
      <c r="D34" s="313" t="s">
        <v>122</v>
      </c>
      <c r="E34" s="314">
        <v>13710</v>
      </c>
      <c r="F34" s="315" t="s">
        <v>124</v>
      </c>
      <c r="G34" s="316">
        <v>11020</v>
      </c>
    </row>
  </sheetData>
  <sheetProtection password="DCD1" sheet="1" objects="1" scenarios="1" selectLockedCells="1" selectUnlockedCells="1"/>
  <mergeCells count="23">
    <mergeCell ref="A1:G1"/>
    <mergeCell ref="A2:G2"/>
    <mergeCell ref="A3:A4"/>
    <mergeCell ref="B3:B4"/>
    <mergeCell ref="C3:E4"/>
    <mergeCell ref="F3:G3"/>
    <mergeCell ref="A5:A8"/>
    <mergeCell ref="B5:B6"/>
    <mergeCell ref="B7:B8"/>
    <mergeCell ref="A9:A12"/>
    <mergeCell ref="B9:B10"/>
    <mergeCell ref="B11:B12"/>
    <mergeCell ref="A13:A24"/>
    <mergeCell ref="B13:B16"/>
    <mergeCell ref="B17:B18"/>
    <mergeCell ref="B19:B20"/>
    <mergeCell ref="B21:B22"/>
    <mergeCell ref="B23:B24"/>
    <mergeCell ref="A25:A34"/>
    <mergeCell ref="B25:B26"/>
    <mergeCell ref="B27:B30"/>
    <mergeCell ref="B31:B32"/>
    <mergeCell ref="B33:B34"/>
  </mergeCells>
  <pageMargins left="0.45" right="0.24" top="0.27" bottom="0.25" header="0.18" footer="0.1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D162"/>
  <sheetViews>
    <sheetView showGridLines="0" showRowColHeaders="0" topLeftCell="A3" workbookViewId="0">
      <selection activeCell="W23" sqref="W23"/>
    </sheetView>
  </sheetViews>
  <sheetFormatPr defaultRowHeight="20.25" customHeight="1" x14ac:dyDescent="0.2"/>
  <cols>
    <col min="1" max="1" width="2.625" style="233" customWidth="1"/>
    <col min="2" max="2" width="17.875" style="233" customWidth="1"/>
    <col min="3" max="3" width="18.875" style="233" customWidth="1"/>
    <col min="4" max="4" width="3.875" style="233" hidden="1" customWidth="1"/>
    <col min="5" max="5" width="17.375" style="233" customWidth="1"/>
    <col min="6" max="6" width="13.625" style="233" hidden="1" customWidth="1"/>
    <col min="7" max="7" width="10.625" style="233" hidden="1" customWidth="1"/>
    <col min="8" max="8" width="15.25" style="233" customWidth="1"/>
    <col min="9" max="9" width="2.75" style="233" customWidth="1"/>
    <col min="10" max="10" width="15.125" style="233" customWidth="1"/>
    <col min="11" max="11" width="0.75" style="233" hidden="1" customWidth="1"/>
    <col min="12" max="12" width="3.75" style="235" customWidth="1"/>
    <col min="13" max="13" width="15.125" style="233" customWidth="1"/>
    <col min="14" max="14" width="14.875" style="233" hidden="1" customWidth="1"/>
    <col min="15" max="16" width="13" style="233" hidden="1" customWidth="1"/>
    <col min="17" max="17" width="17.25" style="233" customWidth="1"/>
    <col min="18" max="18" width="6.875" style="233" hidden="1" customWidth="1"/>
    <col min="19" max="19" width="7.375" style="233" hidden="1" customWidth="1"/>
    <col min="20" max="20" width="6.375" style="233" hidden="1" customWidth="1"/>
    <col min="21" max="21" width="5.875" style="233" hidden="1" customWidth="1"/>
    <col min="22" max="22" width="2.125" style="235" customWidth="1"/>
    <col min="23" max="23" width="17.25" style="233" customWidth="1"/>
    <col min="24" max="27" width="9" style="233"/>
    <col min="28" max="28" width="12.25" style="233" customWidth="1"/>
    <col min="29" max="16384" width="9" style="233"/>
  </cols>
  <sheetData>
    <row r="1" spans="2:22" ht="20.25" customHeight="1" x14ac:dyDescent="0.25">
      <c r="B1" s="482" t="s">
        <v>82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</row>
    <row r="2" spans="2:22" ht="24" customHeight="1" x14ac:dyDescent="0.2">
      <c r="B2" s="483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</row>
    <row r="3" spans="2:22" ht="27" customHeight="1" x14ac:dyDescent="0.2">
      <c r="B3" s="558" t="s">
        <v>84</v>
      </c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  <c r="R3" s="348"/>
      <c r="S3" s="348"/>
      <c r="T3" s="348"/>
      <c r="U3" s="1"/>
      <c r="V3" s="8"/>
    </row>
    <row r="4" spans="2:22" ht="9.75" customHeight="1" x14ac:dyDescent="0.2"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348"/>
      <c r="S4" s="348"/>
      <c r="T4" s="348"/>
      <c r="U4" s="1"/>
      <c r="V4" s="8"/>
    </row>
    <row r="5" spans="2:22" ht="32.25" customHeight="1" x14ac:dyDescent="0.2">
      <c r="B5" s="562" t="s">
        <v>2</v>
      </c>
      <c r="C5" s="563"/>
      <c r="D5" s="236"/>
      <c r="E5" s="5" t="s">
        <v>3</v>
      </c>
      <c r="F5" s="5"/>
      <c r="G5" s="5"/>
      <c r="H5" s="5" t="s">
        <v>4</v>
      </c>
      <c r="I5" s="490" t="s">
        <v>5</v>
      </c>
      <c r="J5" s="491"/>
      <c r="K5" s="491"/>
      <c r="L5" s="491"/>
      <c r="M5" s="491"/>
      <c r="N5" s="491"/>
      <c r="O5" s="491"/>
      <c r="P5" s="491"/>
      <c r="Q5" s="492"/>
      <c r="R5" s="7"/>
      <c r="S5" s="7"/>
      <c r="T5" s="7"/>
      <c r="U5" s="1"/>
      <c r="V5" s="8"/>
    </row>
    <row r="6" spans="2:22" ht="26.25" customHeight="1" x14ac:dyDescent="0.2">
      <c r="B6" s="496"/>
      <c r="C6" s="497"/>
      <c r="D6" s="9"/>
      <c r="E6" s="10"/>
      <c r="F6" s="10"/>
      <c r="G6" s="10"/>
      <c r="H6" s="10"/>
      <c r="I6" s="493"/>
      <c r="J6" s="494"/>
      <c r="K6" s="494"/>
      <c r="L6" s="494"/>
      <c r="M6" s="494"/>
      <c r="N6" s="494"/>
      <c r="O6" s="494"/>
      <c r="P6" s="494"/>
      <c r="Q6" s="495"/>
      <c r="R6" s="11"/>
      <c r="S6" s="11"/>
      <c r="T6" s="11"/>
      <c r="U6" s="1"/>
      <c r="V6" s="8"/>
    </row>
    <row r="7" spans="2:22" ht="26.25" customHeight="1" x14ac:dyDescent="0.2">
      <c r="B7" s="498" t="s">
        <v>5</v>
      </c>
      <c r="C7" s="499"/>
      <c r="D7" s="12"/>
      <c r="E7" s="6" t="s">
        <v>6</v>
      </c>
      <c r="F7" s="6"/>
      <c r="G7" s="6"/>
      <c r="H7" s="6" t="s">
        <v>7</v>
      </c>
      <c r="I7" s="552" t="s">
        <v>8</v>
      </c>
      <c r="J7" s="553"/>
      <c r="K7" s="15"/>
      <c r="L7" s="552" t="s">
        <v>9</v>
      </c>
      <c r="M7" s="553"/>
      <c r="N7" s="15"/>
      <c r="O7" s="15"/>
      <c r="P7" s="15"/>
      <c r="Q7" s="15" t="s">
        <v>10</v>
      </c>
      <c r="R7" s="17"/>
      <c r="S7" s="17"/>
      <c r="T7" s="17"/>
      <c r="U7" s="1"/>
      <c r="V7" s="8"/>
    </row>
    <row r="8" spans="2:22" ht="23.25" customHeight="1" x14ac:dyDescent="0.2">
      <c r="B8" s="500" t="s">
        <v>11</v>
      </c>
      <c r="C8" s="501"/>
      <c r="D8" s="18"/>
      <c r="E8" s="19" t="str">
        <f>IF(E6&gt;0,(E6)," ")</f>
        <v xml:space="preserve"> </v>
      </c>
      <c r="F8" s="349"/>
      <c r="G8" s="349"/>
      <c r="H8" s="21"/>
      <c r="I8" s="554" t="str">
        <f>IF(H8&lt;=0,(""),IF(N8&lt;12,K8,(K8+1)))</f>
        <v/>
      </c>
      <c r="J8" s="555"/>
      <c r="K8" s="24" t="e">
        <f t="shared" ref="K8:K11" si="0">IF(B8&gt;0,DATEDIF(E8,H8,"y"),(0))</f>
        <v>#VALUE!</v>
      </c>
      <c r="L8" s="556" t="str">
        <f>IF(H8&lt;=0,(""),IF((N8=12),0,(N8)))</f>
        <v/>
      </c>
      <c r="M8" s="557"/>
      <c r="N8" s="24" t="e">
        <f>IF(B8&lt;=0,(0),IF(U8&lt;29,O8,(O8+1)))</f>
        <v>#VALUE!</v>
      </c>
      <c r="O8" s="24" t="e">
        <f t="shared" ref="O8:O11" si="1">IF(B8&gt;0,DATEDIF(E8,H8,"ym"),(0))</f>
        <v>#VALUE!</v>
      </c>
      <c r="P8" s="24"/>
      <c r="Q8" s="27" t="str">
        <f>IF(H8&lt;=0,(""),IF(R8&lt;(29),(R8+1),(0)))</f>
        <v/>
      </c>
      <c r="R8" s="28" t="e">
        <f>S8</f>
        <v>#VALUE!</v>
      </c>
      <c r="S8" s="29" t="e">
        <f>IF(U8&lt;30,T8,(0))</f>
        <v>#VALUE!</v>
      </c>
      <c r="T8" s="28" t="e">
        <f>U8</f>
        <v>#VALUE!</v>
      </c>
      <c r="U8" s="30" t="e">
        <f>IF(B8&gt;0,DATEDIF(E8,H8,"md"),(0))</f>
        <v>#VALUE!</v>
      </c>
      <c r="V8" s="31"/>
    </row>
    <row r="9" spans="2:22" ht="20.25" customHeight="1" x14ac:dyDescent="0.2">
      <c r="B9" s="502" t="s">
        <v>12</v>
      </c>
      <c r="C9" s="503"/>
      <c r="D9" s="32"/>
      <c r="E9" s="33"/>
      <c r="F9" s="33"/>
      <c r="G9" s="33"/>
      <c r="H9" s="33"/>
      <c r="I9" s="548"/>
      <c r="J9" s="549"/>
      <c r="K9" s="36">
        <f t="shared" si="0"/>
        <v>0</v>
      </c>
      <c r="L9" s="550"/>
      <c r="M9" s="551"/>
      <c r="N9" s="39">
        <f>L9</f>
        <v>0</v>
      </c>
      <c r="O9" s="39">
        <f>L9</f>
        <v>0</v>
      </c>
      <c r="P9" s="39"/>
      <c r="Q9" s="39"/>
      <c r="R9" s="28">
        <f t="shared" ref="R9:R11" si="2">S9</f>
        <v>0</v>
      </c>
      <c r="S9" s="29">
        <f t="shared" ref="S9:S11" si="3">IF(U9&lt;30,T9,(0))</f>
        <v>0</v>
      </c>
      <c r="T9" s="28">
        <f t="shared" ref="T9:T11" si="4">U9</f>
        <v>0</v>
      </c>
      <c r="U9" s="30">
        <f t="shared" ref="U9:U11" si="5">IF(B9&gt;0,DATEDIF(E9,H9,"md"),(0))</f>
        <v>0</v>
      </c>
      <c r="V9" s="31"/>
    </row>
    <row r="10" spans="2:22" ht="21.75" customHeight="1" x14ac:dyDescent="0.2">
      <c r="B10" s="502" t="s">
        <v>13</v>
      </c>
      <c r="C10" s="503"/>
      <c r="D10" s="40"/>
      <c r="E10" s="33"/>
      <c r="F10" s="33"/>
      <c r="G10" s="33"/>
      <c r="H10" s="33"/>
      <c r="I10" s="548"/>
      <c r="J10" s="549"/>
      <c r="K10" s="36">
        <f t="shared" si="0"/>
        <v>0</v>
      </c>
      <c r="L10" s="550"/>
      <c r="M10" s="551"/>
      <c r="N10" s="39">
        <f>L10</f>
        <v>0</v>
      </c>
      <c r="O10" s="39">
        <f>L10</f>
        <v>0</v>
      </c>
      <c r="P10" s="39"/>
      <c r="Q10" s="39"/>
      <c r="R10" s="28">
        <f t="shared" si="2"/>
        <v>0</v>
      </c>
      <c r="S10" s="29">
        <f t="shared" si="3"/>
        <v>0</v>
      </c>
      <c r="T10" s="28">
        <f t="shared" si="4"/>
        <v>0</v>
      </c>
      <c r="U10" s="30">
        <f t="shared" si="5"/>
        <v>0</v>
      </c>
      <c r="V10" s="31"/>
    </row>
    <row r="11" spans="2:22" ht="21.75" customHeight="1" x14ac:dyDescent="0.2">
      <c r="B11" s="504" t="s">
        <v>85</v>
      </c>
      <c r="C11" s="505"/>
      <c r="D11" s="43"/>
      <c r="E11" s="44"/>
      <c r="F11" s="44"/>
      <c r="G11" s="44"/>
      <c r="H11" s="44"/>
      <c r="I11" s="542" t="str">
        <f>IF(H11&lt;=0,(""),IF(N11&lt;12,K11,(K11+1)))</f>
        <v/>
      </c>
      <c r="J11" s="543"/>
      <c r="K11" s="46">
        <f t="shared" si="0"/>
        <v>0</v>
      </c>
      <c r="L11" s="544" t="str">
        <f>IF(H11&lt;=0,(""),IF((N11=12),0,(N11)))</f>
        <v/>
      </c>
      <c r="M11" s="545"/>
      <c r="N11" s="24">
        <f>IF(B11&lt;=0,(0),IF(U11&lt;29,O11,(O11+1)))</f>
        <v>0</v>
      </c>
      <c r="O11" s="24">
        <f t="shared" si="1"/>
        <v>0</v>
      </c>
      <c r="P11" s="24"/>
      <c r="Q11" s="27" t="str">
        <f>IF(H11&lt;=0,(""),IF(R11&lt;(29),(R11+1),(0)))</f>
        <v/>
      </c>
      <c r="R11" s="28">
        <f t="shared" si="2"/>
        <v>0</v>
      </c>
      <c r="S11" s="29">
        <f t="shared" si="3"/>
        <v>0</v>
      </c>
      <c r="T11" s="28">
        <f t="shared" si="4"/>
        <v>0</v>
      </c>
      <c r="U11" s="30">
        <f t="shared" si="5"/>
        <v>0</v>
      </c>
      <c r="V11" s="31"/>
    </row>
    <row r="12" spans="2:22" ht="21.75" customHeight="1" x14ac:dyDescent="0.2">
      <c r="B12" s="480" t="s">
        <v>15</v>
      </c>
      <c r="C12" s="481"/>
      <c r="D12" s="49"/>
      <c r="E12" s="50"/>
      <c r="F12" s="50"/>
      <c r="G12" s="50"/>
      <c r="H12" s="50"/>
      <c r="I12" s="546"/>
      <c r="J12" s="547"/>
      <c r="K12" s="53">
        <f>I12</f>
        <v>0</v>
      </c>
      <c r="L12" s="546"/>
      <c r="M12" s="547"/>
      <c r="N12" s="53">
        <f>L12</f>
        <v>0</v>
      </c>
      <c r="O12" s="55">
        <f>L12</f>
        <v>0</v>
      </c>
      <c r="P12" s="52"/>
      <c r="Q12" s="52"/>
      <c r="R12" s="56"/>
      <c r="S12" s="57"/>
      <c r="T12" s="56"/>
      <c r="U12" s="58"/>
      <c r="V12" s="31"/>
    </row>
    <row r="13" spans="2:22" ht="24.75" hidden="1" customHeight="1" x14ac:dyDescent="0.2">
      <c r="B13" s="59"/>
      <c r="C13" s="59"/>
      <c r="D13" s="59"/>
      <c r="E13" s="59"/>
      <c r="F13" s="59"/>
      <c r="G13" s="59"/>
      <c r="H13" s="60" t="s">
        <v>16</v>
      </c>
      <c r="I13" s="538">
        <f>SUM(I8:I12)</f>
        <v>0</v>
      </c>
      <c r="J13" s="539"/>
      <c r="K13" s="65" t="e">
        <f>SUM(K8:K12)</f>
        <v>#VALUE!</v>
      </c>
      <c r="L13" s="538">
        <f>SUM(L8:L12)</f>
        <v>0</v>
      </c>
      <c r="M13" s="539"/>
      <c r="N13" s="65" t="e">
        <f>SUM(N8:N12)</f>
        <v>#VALUE!</v>
      </c>
      <c r="O13" s="66" t="e">
        <f>SUM(O8:O12)</f>
        <v>#VALUE!</v>
      </c>
      <c r="P13" s="67"/>
      <c r="Q13" s="67">
        <f>SUM(Q8:Q12)</f>
        <v>0</v>
      </c>
      <c r="R13" s="62"/>
      <c r="S13" s="62"/>
      <c r="T13" s="62"/>
      <c r="U13" s="62"/>
      <c r="V13" s="68"/>
    </row>
    <row r="14" spans="2:22" ht="24.75" hidden="1" customHeight="1" x14ac:dyDescent="0.2">
      <c r="B14" s="59"/>
      <c r="C14" s="59"/>
      <c r="D14" s="59"/>
      <c r="E14" s="59"/>
      <c r="F14" s="59"/>
      <c r="G14" s="59"/>
      <c r="H14" s="60" t="s">
        <v>16</v>
      </c>
      <c r="I14" s="538">
        <f>IF(L13&gt;=12,(I13+1),I13)</f>
        <v>0</v>
      </c>
      <c r="J14" s="539"/>
      <c r="K14" s="65" t="e">
        <f>IF(L14&gt;=12,(K13+1),K13)</f>
        <v>#VALUE!</v>
      </c>
      <c r="L14" s="538">
        <f>IF(L13&gt;12,(L13-12),L13)</f>
        <v>0</v>
      </c>
      <c r="M14" s="539"/>
      <c r="N14" s="65" t="e">
        <f>IF(O14&lt;12,O14,(O14-12))</f>
        <v>#VALUE!</v>
      </c>
      <c r="O14" s="66" t="e">
        <f>IF(Q13&lt;30,N13,(N13+1))</f>
        <v>#VALUE!</v>
      </c>
      <c r="P14" s="67"/>
      <c r="Q14" s="67">
        <f>IF(Q13&lt;30,Q13,(Q13-30))</f>
        <v>0</v>
      </c>
      <c r="R14" s="69"/>
      <c r="S14" s="69"/>
      <c r="T14" s="69"/>
      <c r="U14" s="1"/>
      <c r="V14" s="8"/>
    </row>
    <row r="15" spans="2:22" ht="25.5" hidden="1" customHeight="1" x14ac:dyDescent="0.2">
      <c r="B15" s="70"/>
      <c r="C15" s="71"/>
      <c r="D15" s="71"/>
      <c r="E15" s="71"/>
      <c r="F15" s="71"/>
      <c r="G15" s="71"/>
      <c r="H15" s="253" t="s">
        <v>16</v>
      </c>
      <c r="I15" s="538" t="e">
        <f>IF(N14&gt;=12,(I14+1),I14)</f>
        <v>#VALUE!</v>
      </c>
      <c r="J15" s="539"/>
      <c r="K15" s="65" t="e">
        <f>IF(L14&gt;=12,(K14),K13)</f>
        <v>#VALUE!</v>
      </c>
      <c r="L15" s="540" t="str">
        <f>IF(H8&gt;0,IF(N15&lt;12,N15,(N15-12))," ")</f>
        <v xml:space="preserve"> </v>
      </c>
      <c r="M15" s="541"/>
      <c r="N15" s="65" t="e">
        <f>IF(O15&lt;12,O15,(O15-12))</f>
        <v>#VALUE!</v>
      </c>
      <c r="O15" s="66" t="e">
        <f>IF(Q14&lt;30,N14,(N14+1))</f>
        <v>#VALUE!</v>
      </c>
      <c r="P15" s="66"/>
      <c r="Q15" s="66" t="str">
        <f>IF(H8&gt;0,IF(Q14&lt;30,Q14,(Q14-30))," ")</f>
        <v xml:space="preserve"> </v>
      </c>
      <c r="R15" s="69"/>
      <c r="S15" s="69"/>
      <c r="T15" s="69"/>
      <c r="U15" s="1"/>
      <c r="V15" s="8"/>
    </row>
    <row r="16" spans="2:22" ht="25.5" customHeight="1" x14ac:dyDescent="0.2">
      <c r="B16" s="254"/>
      <c r="C16" s="254"/>
      <c r="D16" s="254"/>
      <c r="E16" s="254"/>
      <c r="F16" s="254"/>
      <c r="G16" s="254"/>
      <c r="H16" s="61" t="s">
        <v>16</v>
      </c>
      <c r="I16" s="532" t="str">
        <f>IF(E6&gt;0,IF(N15&gt;=12,(I15+1),I15),(""))</f>
        <v/>
      </c>
      <c r="J16" s="533"/>
      <c r="K16" s="63" t="e">
        <f>IF(L15&gt;=12,(K15),K14)</f>
        <v>#VALUE!</v>
      </c>
      <c r="L16" s="534" t="str">
        <f>IF(H8&gt;0,IF(L15&lt;12,L15,(L15-12))," ")</f>
        <v xml:space="preserve"> </v>
      </c>
      <c r="M16" s="535"/>
      <c r="N16" s="75" t="e">
        <f>IF(Q15&lt;30,N15,((L15+1)+1))</f>
        <v>#VALUE!</v>
      </c>
      <c r="O16" s="66" t="e">
        <f>IF(Q15&lt;30,N15,(N15+1))</f>
        <v>#VALUE!</v>
      </c>
      <c r="P16" s="66"/>
      <c r="Q16" s="73" t="str">
        <f>IF(H8&gt;0,IF(Q15&lt;30,Q15,(Q15-30))," ")</f>
        <v xml:space="preserve"> </v>
      </c>
      <c r="R16" s="69"/>
      <c r="S16" s="69"/>
      <c r="T16" s="69"/>
      <c r="U16" s="1"/>
      <c r="V16" s="8"/>
    </row>
    <row r="17" spans="2:23" ht="26.25" hidden="1" customHeight="1" thickBot="1" x14ac:dyDescent="0.25">
      <c r="B17" s="59"/>
      <c r="C17" s="59"/>
      <c r="D17" s="59"/>
      <c r="E17" s="59"/>
      <c r="F17" s="59"/>
      <c r="G17" s="59"/>
      <c r="H17" s="77" t="s">
        <v>17</v>
      </c>
      <c r="I17" s="78"/>
      <c r="J17" s="79" t="str">
        <f>IF(H8&gt;0,(ROUND(J18, 2)),"")</f>
        <v/>
      </c>
      <c r="K17" s="59"/>
      <c r="L17" s="80"/>
      <c r="M17" s="81" t="s">
        <v>18</v>
      </c>
      <c r="N17" s="59"/>
      <c r="O17" s="59"/>
      <c r="P17" s="59"/>
      <c r="Q17" s="59"/>
      <c r="R17" s="59"/>
      <c r="S17" s="59"/>
      <c r="T17" s="59"/>
      <c r="U17" s="1"/>
      <c r="V17" s="8"/>
    </row>
    <row r="18" spans="2:23" ht="26.25" hidden="1" customHeight="1" thickTop="1" x14ac:dyDescent="0.25">
      <c r="B18" s="82"/>
      <c r="C18" s="82"/>
      <c r="D18" s="82"/>
      <c r="E18" s="82"/>
      <c r="F18" s="82"/>
      <c r="G18" s="82"/>
      <c r="H18" s="82"/>
      <c r="I18" s="82"/>
      <c r="J18" s="83" t="str">
        <f>IF(H8&gt;0,(I16+(L16/12)+(Q16/360))," ")</f>
        <v xml:space="preserve"> </v>
      </c>
      <c r="K18" s="82"/>
      <c r="L18" s="84"/>
      <c r="M18" s="85"/>
      <c r="N18" s="86"/>
      <c r="O18" s="86"/>
      <c r="P18" s="86"/>
      <c r="Q18" s="86"/>
      <c r="R18" s="86"/>
      <c r="S18" s="82"/>
      <c r="T18" s="82"/>
      <c r="U18" s="1"/>
      <c r="V18" s="8"/>
    </row>
    <row r="19" spans="2:23" ht="23.25" customHeight="1" x14ac:dyDescent="0.2">
      <c r="B19" s="82" t="s">
        <v>86</v>
      </c>
      <c r="C19" s="82"/>
      <c r="D19" s="82"/>
      <c r="E19" s="82"/>
      <c r="F19" s="82"/>
      <c r="G19" s="82"/>
      <c r="H19" s="82"/>
      <c r="I19" s="82"/>
      <c r="J19" s="87"/>
      <c r="K19" s="82"/>
      <c r="L19" s="84"/>
      <c r="M19" s="82"/>
      <c r="N19" s="82"/>
      <c r="O19" s="82"/>
      <c r="P19" s="82"/>
      <c r="Q19" s="89" t="s">
        <v>158</v>
      </c>
      <c r="R19" s="82"/>
      <c r="S19" s="82"/>
      <c r="T19" s="82"/>
      <c r="U19" s="1"/>
      <c r="V19" s="90" t="s">
        <v>18</v>
      </c>
    </row>
    <row r="20" spans="2:23" ht="23.25" customHeight="1" x14ac:dyDescent="0.2">
      <c r="B20" s="91" t="s">
        <v>20</v>
      </c>
      <c r="C20" s="91"/>
      <c r="D20" s="91"/>
      <c r="E20" s="91"/>
      <c r="F20" s="91"/>
      <c r="G20" s="91"/>
      <c r="H20" s="91"/>
      <c r="I20" s="91"/>
      <c r="J20" s="91"/>
      <c r="K20" s="91"/>
      <c r="L20" s="92"/>
      <c r="M20" s="91"/>
      <c r="N20" s="91"/>
      <c r="O20" s="91"/>
      <c r="P20" s="91"/>
      <c r="Q20" s="89" t="s">
        <v>159</v>
      </c>
      <c r="R20" s="91"/>
      <c r="S20" s="91"/>
      <c r="T20" s="91"/>
      <c r="U20" s="1"/>
      <c r="V20" s="90" t="s">
        <v>18</v>
      </c>
    </row>
    <row r="21" spans="2:23" ht="23.25" customHeight="1" x14ac:dyDescent="0.2">
      <c r="B21" s="93" t="s">
        <v>21</v>
      </c>
      <c r="C21" s="1"/>
      <c r="D21" s="1"/>
      <c r="E21" s="1"/>
      <c r="F21" s="1"/>
      <c r="G21" s="1"/>
      <c r="H21" s="1"/>
      <c r="I21" s="1"/>
      <c r="J21" s="94"/>
      <c r="K21" s="1"/>
      <c r="L21" s="8"/>
      <c r="M21" s="1"/>
      <c r="N21" s="1"/>
      <c r="O21" s="1"/>
      <c r="P21" s="1"/>
      <c r="Q21" s="1"/>
      <c r="R21" s="1"/>
      <c r="S21" s="1"/>
      <c r="T21" s="1"/>
      <c r="U21" s="1"/>
      <c r="V21" s="8"/>
    </row>
    <row r="22" spans="2:23" ht="23.25" customHeight="1" x14ac:dyDescent="0.2">
      <c r="B22" s="95" t="s">
        <v>22</v>
      </c>
      <c r="C22" s="96"/>
      <c r="D22" s="96"/>
      <c r="E22" s="96"/>
      <c r="F22" s="96"/>
      <c r="G22" s="96"/>
      <c r="H22" s="96"/>
      <c r="I22" s="96"/>
      <c r="J22" s="97"/>
      <c r="K22" s="96"/>
      <c r="L22" s="98"/>
      <c r="M22" s="96"/>
      <c r="N22" s="96"/>
      <c r="O22" s="96"/>
      <c r="P22" s="96"/>
      <c r="Q22" s="99"/>
      <c r="R22" s="1"/>
      <c r="S22" s="1"/>
      <c r="T22" s="1"/>
      <c r="U22" s="1"/>
      <c r="V22" s="8"/>
    </row>
    <row r="23" spans="2:23" ht="20.25" customHeight="1" x14ac:dyDescent="0.2">
      <c r="B23" s="100" t="s">
        <v>6</v>
      </c>
      <c r="C23" s="100" t="s">
        <v>7</v>
      </c>
      <c r="D23" s="100"/>
      <c r="E23" s="101" t="s">
        <v>23</v>
      </c>
      <c r="F23" s="1"/>
      <c r="G23" s="1"/>
      <c r="H23" s="474" t="s">
        <v>24</v>
      </c>
      <c r="I23" s="475"/>
      <c r="J23" s="102" t="s">
        <v>25</v>
      </c>
      <c r="K23" s="100"/>
      <c r="L23" s="476" t="s">
        <v>26</v>
      </c>
      <c r="M23" s="477"/>
      <c r="N23" s="100" t="s">
        <v>27</v>
      </c>
      <c r="O23" s="100" t="s">
        <v>27</v>
      </c>
      <c r="P23" s="100"/>
      <c r="Q23" s="100" t="s">
        <v>28</v>
      </c>
      <c r="R23" s="103"/>
      <c r="S23" s="103"/>
      <c r="T23" s="103"/>
      <c r="U23" s="104"/>
      <c r="V23" s="105"/>
      <c r="W23" s="256"/>
    </row>
    <row r="24" spans="2:23" ht="19.5" customHeight="1" x14ac:dyDescent="0.2">
      <c r="B24" s="106"/>
      <c r="C24" s="106"/>
      <c r="D24" s="107"/>
      <c r="E24" s="259"/>
      <c r="F24" s="1"/>
      <c r="G24" s="1"/>
      <c r="H24" s="466"/>
      <c r="I24" s="467"/>
      <c r="J24" s="350"/>
      <c r="K24" s="110"/>
      <c r="L24" s="536"/>
      <c r="M24" s="537"/>
      <c r="N24" s="111"/>
      <c r="O24" s="111"/>
      <c r="P24" s="111">
        <f>(H24+J24+L24)</f>
        <v>0</v>
      </c>
      <c r="Q24" s="111"/>
      <c r="R24" s="112"/>
      <c r="S24" s="112"/>
      <c r="T24" s="112"/>
      <c r="U24" s="104"/>
      <c r="V24" s="105"/>
      <c r="W24" s="262"/>
    </row>
    <row r="25" spans="2:23" ht="19.5" customHeight="1" x14ac:dyDescent="0.2">
      <c r="B25" s="106"/>
      <c r="C25" s="106"/>
      <c r="D25" s="107"/>
      <c r="E25" s="263"/>
      <c r="F25" s="1"/>
      <c r="G25" s="1"/>
      <c r="H25" s="466"/>
      <c r="I25" s="467"/>
      <c r="J25" s="351"/>
      <c r="K25" s="110"/>
      <c r="L25" s="530"/>
      <c r="M25" s="531"/>
      <c r="N25" s="111"/>
      <c r="O25" s="111"/>
      <c r="P25" s="111">
        <f t="shared" ref="P25:P36" si="6">(H25+J25+L25)</f>
        <v>0</v>
      </c>
      <c r="Q25" s="111"/>
      <c r="R25" s="112"/>
      <c r="S25" s="112"/>
      <c r="T25" s="112"/>
      <c r="U25" s="104"/>
      <c r="V25" s="105"/>
      <c r="W25" s="256"/>
    </row>
    <row r="26" spans="2:23" ht="19.5" customHeight="1" x14ac:dyDescent="0.2">
      <c r="B26" s="106"/>
      <c r="C26" s="106"/>
      <c r="D26" s="107"/>
      <c r="E26" s="263"/>
      <c r="F26" s="1"/>
      <c r="G26" s="1"/>
      <c r="H26" s="466"/>
      <c r="I26" s="467"/>
      <c r="J26" s="351"/>
      <c r="K26" s="110"/>
      <c r="L26" s="530"/>
      <c r="M26" s="531"/>
      <c r="N26" s="111"/>
      <c r="O26" s="111"/>
      <c r="P26" s="111">
        <f t="shared" si="6"/>
        <v>0</v>
      </c>
      <c r="Q26" s="111"/>
      <c r="R26" s="112"/>
      <c r="S26" s="112"/>
      <c r="T26" s="112"/>
      <c r="U26" s="104"/>
      <c r="V26" s="105"/>
      <c r="W26" s="256"/>
    </row>
    <row r="27" spans="2:23" ht="19.5" customHeight="1" x14ac:dyDescent="0.2">
      <c r="B27" s="106"/>
      <c r="C27" s="106"/>
      <c r="D27" s="107"/>
      <c r="E27" s="263"/>
      <c r="F27" s="1"/>
      <c r="G27" s="1"/>
      <c r="H27" s="466"/>
      <c r="I27" s="467"/>
      <c r="J27" s="351"/>
      <c r="K27" s="110"/>
      <c r="L27" s="530"/>
      <c r="M27" s="531"/>
      <c r="N27" s="111"/>
      <c r="O27" s="111"/>
      <c r="P27" s="111">
        <f t="shared" si="6"/>
        <v>0</v>
      </c>
      <c r="Q27" s="111"/>
      <c r="R27" s="112"/>
      <c r="S27" s="112"/>
      <c r="T27" s="112"/>
      <c r="U27" s="104"/>
      <c r="V27" s="105"/>
      <c r="W27" s="256"/>
    </row>
    <row r="28" spans="2:23" ht="19.5" customHeight="1" x14ac:dyDescent="0.2">
      <c r="B28" s="106"/>
      <c r="C28" s="106"/>
      <c r="D28" s="107"/>
      <c r="E28" s="263"/>
      <c r="F28" s="1"/>
      <c r="G28" s="1"/>
      <c r="H28" s="466"/>
      <c r="I28" s="467"/>
      <c r="J28" s="351"/>
      <c r="K28" s="110"/>
      <c r="L28" s="530"/>
      <c r="M28" s="531"/>
      <c r="N28" s="111"/>
      <c r="O28" s="111"/>
      <c r="P28" s="111">
        <f t="shared" si="6"/>
        <v>0</v>
      </c>
      <c r="Q28" s="111"/>
      <c r="R28" s="112"/>
      <c r="S28" s="112"/>
      <c r="T28" s="112"/>
      <c r="U28" s="104"/>
      <c r="V28" s="105"/>
      <c r="W28" s="256"/>
    </row>
    <row r="29" spans="2:23" ht="19.5" customHeight="1" x14ac:dyDescent="0.2">
      <c r="B29" s="106"/>
      <c r="C29" s="106"/>
      <c r="D29" s="107"/>
      <c r="E29" s="263"/>
      <c r="F29" s="1"/>
      <c r="G29" s="1"/>
      <c r="H29" s="466"/>
      <c r="I29" s="467"/>
      <c r="J29" s="351"/>
      <c r="K29" s="110"/>
      <c r="L29" s="530"/>
      <c r="M29" s="531"/>
      <c r="N29" s="111"/>
      <c r="O29" s="111"/>
      <c r="P29" s="111">
        <f t="shared" si="6"/>
        <v>0</v>
      </c>
      <c r="Q29" s="111"/>
      <c r="R29" s="112"/>
      <c r="S29" s="112"/>
      <c r="T29" s="112"/>
      <c r="U29" s="104"/>
      <c r="V29" s="105"/>
      <c r="W29" s="256"/>
    </row>
    <row r="30" spans="2:23" ht="19.5" customHeight="1" x14ac:dyDescent="0.2">
      <c r="B30" s="106"/>
      <c r="C30" s="106"/>
      <c r="D30" s="107"/>
      <c r="E30" s="263"/>
      <c r="F30" s="1"/>
      <c r="G30" s="1"/>
      <c r="H30" s="466"/>
      <c r="I30" s="467"/>
      <c r="J30" s="351"/>
      <c r="K30" s="110"/>
      <c r="L30" s="530"/>
      <c r="M30" s="531"/>
      <c r="N30" s="111"/>
      <c r="O30" s="111"/>
      <c r="P30" s="111">
        <f t="shared" si="6"/>
        <v>0</v>
      </c>
      <c r="Q30" s="111"/>
      <c r="R30" s="112"/>
      <c r="S30" s="112"/>
      <c r="T30" s="112"/>
      <c r="U30" s="104"/>
      <c r="V30" s="105"/>
      <c r="W30" s="256"/>
    </row>
    <row r="31" spans="2:23" ht="19.5" customHeight="1" x14ac:dyDescent="0.2">
      <c r="B31" s="106"/>
      <c r="C31" s="106"/>
      <c r="D31" s="107"/>
      <c r="E31" s="263"/>
      <c r="F31" s="1"/>
      <c r="G31" s="1"/>
      <c r="H31" s="466"/>
      <c r="I31" s="467"/>
      <c r="J31" s="351"/>
      <c r="K31" s="110"/>
      <c r="L31" s="528"/>
      <c r="M31" s="529"/>
      <c r="N31" s="111"/>
      <c r="O31" s="111"/>
      <c r="P31" s="111">
        <f t="shared" si="6"/>
        <v>0</v>
      </c>
      <c r="Q31" s="111"/>
      <c r="R31" s="112"/>
      <c r="S31" s="112"/>
      <c r="T31" s="112"/>
      <c r="U31" s="104"/>
      <c r="V31" s="105"/>
      <c r="W31" s="256"/>
    </row>
    <row r="32" spans="2:23" ht="19.5" customHeight="1" x14ac:dyDescent="0.2">
      <c r="B32" s="106"/>
      <c r="C32" s="106"/>
      <c r="D32" s="107"/>
      <c r="E32" s="263"/>
      <c r="F32" s="1"/>
      <c r="G32" s="1"/>
      <c r="H32" s="466"/>
      <c r="I32" s="467"/>
      <c r="J32" s="351"/>
      <c r="K32" s="110"/>
      <c r="L32" s="528"/>
      <c r="M32" s="529"/>
      <c r="N32" s="111"/>
      <c r="O32" s="111"/>
      <c r="P32" s="111">
        <f t="shared" si="6"/>
        <v>0</v>
      </c>
      <c r="Q32" s="111"/>
      <c r="R32" s="112"/>
      <c r="S32" s="112"/>
      <c r="T32" s="112"/>
      <c r="U32" s="104"/>
      <c r="V32" s="105"/>
      <c r="W32" s="256"/>
    </row>
    <row r="33" spans="2:23" ht="19.5" customHeight="1" x14ac:dyDescent="0.2">
      <c r="B33" s="106"/>
      <c r="C33" s="106"/>
      <c r="D33" s="107"/>
      <c r="E33" s="263"/>
      <c r="F33" s="1"/>
      <c r="G33" s="1"/>
      <c r="H33" s="466"/>
      <c r="I33" s="467"/>
      <c r="J33" s="351"/>
      <c r="K33" s="110"/>
      <c r="L33" s="528"/>
      <c r="M33" s="529"/>
      <c r="N33" s="111"/>
      <c r="O33" s="111"/>
      <c r="P33" s="111">
        <f t="shared" si="6"/>
        <v>0</v>
      </c>
      <c r="Q33" s="111"/>
      <c r="R33" s="112"/>
      <c r="S33" s="112"/>
      <c r="T33" s="112"/>
      <c r="U33" s="104"/>
      <c r="V33" s="105"/>
      <c r="W33" s="256"/>
    </row>
    <row r="34" spans="2:23" ht="19.5" customHeight="1" x14ac:dyDescent="0.2">
      <c r="B34" s="106"/>
      <c r="C34" s="106"/>
      <c r="D34" s="116"/>
      <c r="E34" s="263"/>
      <c r="F34" s="1"/>
      <c r="G34" s="1"/>
      <c r="H34" s="466"/>
      <c r="I34" s="467"/>
      <c r="J34" s="352"/>
      <c r="K34" s="110"/>
      <c r="L34" s="528"/>
      <c r="M34" s="529"/>
      <c r="N34" s="111"/>
      <c r="O34" s="111"/>
      <c r="P34" s="111">
        <f t="shared" si="6"/>
        <v>0</v>
      </c>
      <c r="Q34" s="111"/>
      <c r="R34" s="112"/>
      <c r="S34" s="112"/>
      <c r="T34" s="112"/>
      <c r="U34" s="104"/>
      <c r="V34" s="105"/>
      <c r="W34" s="256"/>
    </row>
    <row r="35" spans="2:23" ht="19.5" customHeight="1" x14ac:dyDescent="0.2">
      <c r="B35" s="106"/>
      <c r="C35" s="106"/>
      <c r="D35" s="116"/>
      <c r="E35" s="263"/>
      <c r="F35" s="1"/>
      <c r="G35" s="1"/>
      <c r="H35" s="466"/>
      <c r="I35" s="467"/>
      <c r="J35" s="352"/>
      <c r="K35" s="110"/>
      <c r="L35" s="528"/>
      <c r="M35" s="529"/>
      <c r="N35" s="111"/>
      <c r="O35" s="111"/>
      <c r="P35" s="111">
        <f t="shared" si="6"/>
        <v>0</v>
      </c>
      <c r="Q35" s="111"/>
      <c r="R35" s="112"/>
      <c r="S35" s="112"/>
      <c r="T35" s="112"/>
      <c r="U35" s="104"/>
      <c r="V35" s="105"/>
      <c r="W35" s="256"/>
    </row>
    <row r="36" spans="2:23" ht="19.5" customHeight="1" x14ac:dyDescent="0.2">
      <c r="B36" s="106"/>
      <c r="C36" s="106"/>
      <c r="D36" s="122"/>
      <c r="E36" s="266"/>
      <c r="F36" s="1"/>
      <c r="G36" s="1"/>
      <c r="H36" s="468"/>
      <c r="I36" s="469"/>
      <c r="J36" s="353"/>
      <c r="K36" s="110"/>
      <c r="L36" s="528"/>
      <c r="M36" s="529"/>
      <c r="N36" s="111"/>
      <c r="O36" s="111"/>
      <c r="P36" s="111">
        <f t="shared" si="6"/>
        <v>0</v>
      </c>
      <c r="Q36" s="111"/>
      <c r="R36" s="112"/>
      <c r="S36" s="112"/>
      <c r="T36" s="112"/>
      <c r="U36" s="104"/>
      <c r="V36" s="105"/>
      <c r="W36" s="256"/>
    </row>
    <row r="37" spans="2:23" ht="24" customHeight="1" x14ac:dyDescent="0.2">
      <c r="B37" s="459" t="s">
        <v>29</v>
      </c>
      <c r="C37" s="460"/>
      <c r="D37" s="125"/>
      <c r="E37" s="268"/>
      <c r="F37" s="125"/>
      <c r="G37" s="125"/>
      <c r="H37" s="127" t="s">
        <v>30</v>
      </c>
      <c r="I37" s="104"/>
      <c r="J37" s="128"/>
      <c r="K37" s="129"/>
      <c r="L37" s="130"/>
      <c r="M37" s="131"/>
      <c r="N37" s="132"/>
      <c r="O37" s="132"/>
      <c r="P37" s="133"/>
      <c r="Q37" s="134"/>
      <c r="R37" s="112"/>
      <c r="S37" s="112"/>
      <c r="T37" s="112"/>
      <c r="U37" s="104"/>
      <c r="V37" s="105"/>
      <c r="W37" s="256"/>
    </row>
    <row r="38" spans="2:23" ht="30.75" hidden="1" customHeight="1" x14ac:dyDescent="0.2">
      <c r="B38" s="135"/>
      <c r="C38" s="136"/>
      <c r="D38" s="136"/>
      <c r="E38" s="461" t="s">
        <v>31</v>
      </c>
      <c r="F38" s="461"/>
      <c r="G38" s="461"/>
      <c r="H38" s="461"/>
      <c r="I38" s="461"/>
      <c r="J38" s="461"/>
      <c r="K38" s="461"/>
      <c r="L38" s="461"/>
      <c r="M38" s="462"/>
      <c r="N38" s="91"/>
      <c r="O38" s="91"/>
      <c r="P38" s="91"/>
      <c r="Q38" s="137"/>
      <c r="R38" s="112"/>
      <c r="S38" s="112"/>
      <c r="T38" s="112"/>
      <c r="U38" s="1"/>
      <c r="V38" s="8"/>
    </row>
    <row r="39" spans="2:23" ht="23.25" customHeight="1" x14ac:dyDescent="0.2">
      <c r="B39" s="135"/>
      <c r="C39" s="138" t="s">
        <v>194</v>
      </c>
      <c r="D39" s="138"/>
      <c r="E39" s="104"/>
      <c r="F39" s="138"/>
      <c r="G39" s="138"/>
      <c r="H39" s="139" t="s">
        <v>160</v>
      </c>
      <c r="I39" s="138" t="s">
        <v>33</v>
      </c>
      <c r="J39" s="140" t="s">
        <v>34</v>
      </c>
      <c r="K39" s="138"/>
      <c r="L39" s="138" t="s">
        <v>35</v>
      </c>
      <c r="M39" s="141"/>
      <c r="N39" s="91"/>
      <c r="O39" s="91"/>
      <c r="P39" s="91"/>
      <c r="Q39" s="132"/>
      <c r="R39" s="112"/>
      <c r="S39" s="112"/>
      <c r="T39" s="112"/>
      <c r="U39" s="1"/>
      <c r="V39" s="8"/>
    </row>
    <row r="40" spans="2:23" ht="39.75" hidden="1" customHeight="1" x14ac:dyDescent="0.2">
      <c r="B40" s="135"/>
      <c r="C40" s="142" t="s">
        <v>36</v>
      </c>
      <c r="D40" s="142"/>
      <c r="E40" s="104"/>
      <c r="F40" s="142"/>
      <c r="G40" s="142"/>
      <c r="H40" s="139">
        <f t="shared" ref="H40" si="7">Q38</f>
        <v>0</v>
      </c>
      <c r="I40" s="142"/>
      <c r="J40" s="142"/>
      <c r="K40" s="142"/>
      <c r="L40" s="138" t="s">
        <v>37</v>
      </c>
      <c r="M40" s="143"/>
      <c r="N40" s="91"/>
      <c r="O40" s="91"/>
      <c r="P40" s="91"/>
      <c r="Q40" s="144"/>
      <c r="R40" s="145"/>
      <c r="S40" s="145"/>
      <c r="T40" s="145"/>
      <c r="U40" s="1"/>
      <c r="V40" s="8"/>
    </row>
    <row r="41" spans="2:23" ht="21.75" customHeight="1" x14ac:dyDescent="0.2">
      <c r="B41" s="146"/>
      <c r="C41" s="147" t="s">
        <v>195</v>
      </c>
      <c r="D41" s="147"/>
      <c r="E41" s="148"/>
      <c r="F41" s="147"/>
      <c r="G41" s="147"/>
      <c r="H41" s="149" t="s">
        <v>160</v>
      </c>
      <c r="I41" s="147" t="s">
        <v>39</v>
      </c>
      <c r="J41" s="147" t="s">
        <v>40</v>
      </c>
      <c r="K41" s="147"/>
      <c r="L41" s="150" t="s">
        <v>35</v>
      </c>
      <c r="M41" s="151"/>
      <c r="N41" s="91"/>
      <c r="O41" s="91"/>
      <c r="P41" s="91"/>
      <c r="Q41" s="152"/>
      <c r="R41" s="145"/>
      <c r="S41" s="145"/>
      <c r="T41" s="145"/>
      <c r="U41" s="1"/>
      <c r="V41" s="8"/>
    </row>
    <row r="42" spans="2:23" ht="12.75" customHeight="1" x14ac:dyDescent="0.2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91"/>
      <c r="N42" s="91"/>
      <c r="O42" s="91"/>
      <c r="P42" s="91"/>
      <c r="Q42" s="91"/>
      <c r="R42" s="91"/>
      <c r="S42" s="91"/>
      <c r="T42" s="91"/>
      <c r="U42" s="1"/>
      <c r="V42" s="8"/>
    </row>
    <row r="43" spans="2:23" ht="20.25" customHeight="1" x14ac:dyDescent="0.2">
      <c r="B43" s="153" t="s">
        <v>41</v>
      </c>
      <c r="C43" s="154"/>
      <c r="D43" s="154"/>
      <c r="E43" s="155" t="s">
        <v>35</v>
      </c>
      <c r="F43" s="155"/>
      <c r="G43" s="155"/>
      <c r="H43" s="156" t="s">
        <v>90</v>
      </c>
      <c r="I43" s="156"/>
      <c r="J43" s="156"/>
      <c r="K43" s="156"/>
      <c r="L43" s="157"/>
      <c r="M43" s="156"/>
      <c r="N43" s="156"/>
      <c r="O43" s="156"/>
      <c r="P43" s="156"/>
      <c r="Q43" s="158"/>
      <c r="R43" s="91"/>
      <c r="S43" s="91"/>
      <c r="T43" s="91"/>
      <c r="U43" s="1"/>
      <c r="V43" s="8"/>
    </row>
    <row r="44" spans="2:23" ht="20.25" customHeight="1" x14ac:dyDescent="0.2">
      <c r="B44" s="135"/>
      <c r="C44" s="136"/>
      <c r="D44" s="136"/>
      <c r="E44" s="103" t="s">
        <v>35</v>
      </c>
      <c r="F44" s="103"/>
      <c r="G44" s="103"/>
      <c r="H44" s="145" t="s">
        <v>161</v>
      </c>
      <c r="I44" s="145" t="s">
        <v>39</v>
      </c>
      <c r="J44" s="159" t="s">
        <v>162</v>
      </c>
      <c r="K44" s="103"/>
      <c r="L44" s="160" t="s">
        <v>33</v>
      </c>
      <c r="M44" s="140">
        <f>50</f>
        <v>50</v>
      </c>
      <c r="N44" s="136"/>
      <c r="O44" s="136"/>
      <c r="P44" s="136"/>
      <c r="Q44" s="161"/>
      <c r="R44" s="91"/>
      <c r="S44" s="91"/>
      <c r="T44" s="91"/>
      <c r="U44" s="1"/>
      <c r="V44" s="8"/>
    </row>
    <row r="45" spans="2:23" ht="20.25" customHeight="1" x14ac:dyDescent="0.2">
      <c r="B45" s="135"/>
      <c r="C45" s="136"/>
      <c r="D45" s="136"/>
      <c r="E45" s="103" t="s">
        <v>35</v>
      </c>
      <c r="F45" s="162" t="str">
        <f>IF(E6&gt;0,(H44*J44/M44),(""))</f>
        <v/>
      </c>
      <c r="G45" s="163" t="str">
        <f>IF(E6&gt;0,ROUND(F45,2),"")</f>
        <v/>
      </c>
      <c r="H45" s="164" t="s">
        <v>163</v>
      </c>
      <c r="I45" s="162" t="s">
        <v>43</v>
      </c>
      <c r="J45" s="136"/>
      <c r="K45" s="136"/>
      <c r="L45" s="165"/>
      <c r="M45" s="136"/>
      <c r="N45" s="136"/>
      <c r="O45" s="136"/>
      <c r="P45" s="136"/>
      <c r="Q45" s="161"/>
      <c r="R45" s="91"/>
      <c r="S45" s="91"/>
      <c r="T45" s="91"/>
      <c r="U45" s="1"/>
      <c r="V45" s="8"/>
    </row>
    <row r="46" spans="2:23" ht="20.25" customHeight="1" x14ac:dyDescent="0.2">
      <c r="B46" s="135" t="s">
        <v>44</v>
      </c>
      <c r="C46" s="136"/>
      <c r="D46" s="136"/>
      <c r="E46" s="103"/>
      <c r="F46" s="103"/>
      <c r="G46" s="103"/>
      <c r="H46" s="136"/>
      <c r="I46" s="136"/>
      <c r="J46" s="136"/>
      <c r="K46" s="136"/>
      <c r="L46" s="165"/>
      <c r="M46" s="136"/>
      <c r="N46" s="136"/>
      <c r="O46" s="136"/>
      <c r="P46" s="136"/>
      <c r="Q46" s="161"/>
      <c r="R46" s="91"/>
      <c r="S46" s="91"/>
      <c r="T46" s="91"/>
      <c r="U46" s="1"/>
      <c r="V46" s="8"/>
    </row>
    <row r="47" spans="2:23" ht="24.75" customHeight="1" x14ac:dyDescent="0.2">
      <c r="B47" s="360" t="s">
        <v>199</v>
      </c>
      <c r="C47" s="363"/>
      <c r="D47" s="363"/>
      <c r="E47" s="364"/>
      <c r="F47" s="364"/>
      <c r="G47" s="364"/>
      <c r="H47" s="169" t="s">
        <v>162</v>
      </c>
      <c r="I47" s="362" t="s">
        <v>43</v>
      </c>
      <c r="J47" s="362"/>
      <c r="K47" s="170"/>
      <c r="L47" s="171"/>
      <c r="M47" s="170"/>
      <c r="N47" s="170"/>
      <c r="O47" s="170"/>
      <c r="P47" s="170"/>
      <c r="Q47" s="172"/>
      <c r="R47" s="91"/>
      <c r="S47" s="91"/>
      <c r="T47" s="91"/>
      <c r="U47" s="1"/>
      <c r="V47" s="8"/>
    </row>
    <row r="48" spans="2:23" ht="12" customHeight="1" x14ac:dyDescent="0.2">
      <c r="B48" s="91"/>
      <c r="C48" s="91"/>
      <c r="D48" s="91"/>
      <c r="E48" s="173"/>
      <c r="F48" s="173"/>
      <c r="G48" s="173"/>
      <c r="H48" s="174"/>
      <c r="I48" s="174"/>
      <c r="J48" s="91"/>
      <c r="K48" s="91"/>
      <c r="L48" s="92"/>
      <c r="M48" s="91"/>
      <c r="N48" s="91"/>
      <c r="O48" s="91"/>
      <c r="P48" s="91"/>
      <c r="Q48" s="91"/>
      <c r="R48" s="91"/>
      <c r="S48" s="91"/>
      <c r="T48" s="91"/>
      <c r="U48" s="1"/>
      <c r="V48" s="8"/>
    </row>
    <row r="49" spans="2:30" ht="20.25" customHeight="1" x14ac:dyDescent="0.2">
      <c r="B49" s="153" t="s">
        <v>91</v>
      </c>
      <c r="C49" s="154"/>
      <c r="D49" s="154"/>
      <c r="E49" s="155"/>
      <c r="F49" s="155"/>
      <c r="G49" s="155"/>
      <c r="H49" s="156" t="s">
        <v>45</v>
      </c>
      <c r="I49" s="156"/>
      <c r="J49" s="156"/>
      <c r="K49" s="156"/>
      <c r="L49" s="157"/>
      <c r="M49" s="156"/>
      <c r="N49" s="156"/>
      <c r="O49" s="156"/>
      <c r="P49" s="156"/>
      <c r="Q49" s="158"/>
      <c r="R49" s="91"/>
      <c r="S49" s="91"/>
      <c r="T49" s="91"/>
      <c r="U49" s="1"/>
      <c r="V49" s="8"/>
    </row>
    <row r="50" spans="2:30" ht="20.25" customHeight="1" x14ac:dyDescent="0.2">
      <c r="B50" s="270"/>
      <c r="C50" s="271"/>
      <c r="D50" s="271"/>
      <c r="E50" s="103"/>
      <c r="F50" s="103"/>
      <c r="G50" s="103"/>
      <c r="H50" s="145" t="s">
        <v>164</v>
      </c>
      <c r="I50" s="103" t="s">
        <v>39</v>
      </c>
      <c r="J50" s="145" t="s">
        <v>165</v>
      </c>
      <c r="K50" s="136"/>
      <c r="L50" s="160" t="s">
        <v>33</v>
      </c>
      <c r="M50" s="140">
        <v>50</v>
      </c>
      <c r="N50" s="136"/>
      <c r="O50" s="136"/>
      <c r="P50" s="136"/>
      <c r="Q50" s="161"/>
      <c r="R50" s="91"/>
      <c r="S50" s="91"/>
      <c r="T50" s="91"/>
      <c r="U50" s="1"/>
      <c r="V50" s="8"/>
    </row>
    <row r="51" spans="2:30" ht="20.25" customHeight="1" x14ac:dyDescent="0.2">
      <c r="B51" s="135"/>
      <c r="C51" s="136"/>
      <c r="D51" s="136"/>
      <c r="E51" s="103" t="s">
        <v>46</v>
      </c>
      <c r="F51" s="103"/>
      <c r="G51" s="103"/>
      <c r="H51" s="175" t="s">
        <v>166</v>
      </c>
      <c r="I51" s="136" t="s">
        <v>43</v>
      </c>
      <c r="J51" s="136"/>
      <c r="K51" s="136"/>
      <c r="L51" s="165"/>
      <c r="M51" s="136"/>
      <c r="N51" s="136"/>
      <c r="O51" s="136"/>
      <c r="P51" s="136"/>
      <c r="Q51" s="161"/>
      <c r="R51" s="91"/>
      <c r="S51" s="91"/>
      <c r="T51" s="91"/>
      <c r="U51" s="1"/>
      <c r="V51" s="8"/>
    </row>
    <row r="52" spans="2:30" ht="20.25" customHeight="1" x14ac:dyDescent="0.2">
      <c r="B52" s="176" t="s">
        <v>173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04"/>
      <c r="N52" s="104"/>
      <c r="O52" s="104"/>
      <c r="P52" s="104"/>
      <c r="Q52" s="177"/>
      <c r="R52" s="1"/>
      <c r="S52" s="1"/>
      <c r="T52" s="1"/>
      <c r="U52" s="1"/>
      <c r="V52" s="8"/>
    </row>
    <row r="53" spans="2:30" ht="27" customHeight="1" x14ac:dyDescent="0.2">
      <c r="B53" s="360" t="s">
        <v>198</v>
      </c>
      <c r="C53" s="361"/>
      <c r="D53" s="361"/>
      <c r="E53" s="361"/>
      <c r="F53" s="361"/>
      <c r="G53" s="361"/>
      <c r="H53" s="365" t="s">
        <v>167</v>
      </c>
      <c r="I53" s="362" t="s">
        <v>43</v>
      </c>
      <c r="J53" s="361"/>
      <c r="K53" s="178"/>
      <c r="L53" s="180"/>
      <c r="M53" s="178"/>
      <c r="N53" s="178"/>
      <c r="O53" s="178"/>
      <c r="P53" s="178"/>
      <c r="Q53" s="181"/>
      <c r="R53" s="1"/>
      <c r="S53" s="1"/>
      <c r="T53" s="1"/>
      <c r="U53" s="1"/>
      <c r="V53" s="8"/>
    </row>
    <row r="54" spans="2:30" ht="18.75" customHeight="1" x14ac:dyDescent="0.25">
      <c r="B54" s="182" t="s">
        <v>47</v>
      </c>
      <c r="C54" s="182"/>
      <c r="D54" s="182"/>
      <c r="E54" s="85"/>
      <c r="F54" s="85"/>
      <c r="G54" s="85"/>
      <c r="H54" s="85"/>
      <c r="I54" s="85"/>
      <c r="J54" s="85"/>
      <c r="K54" s="85"/>
      <c r="L54" s="183"/>
      <c r="M54" s="85"/>
      <c r="N54" s="85"/>
      <c r="O54" s="85"/>
      <c r="P54" s="85"/>
      <c r="Q54" s="85"/>
      <c r="R54" s="85"/>
      <c r="S54" s="85"/>
      <c r="T54" s="85"/>
      <c r="U54" s="1"/>
      <c r="V54" s="8"/>
    </row>
    <row r="55" spans="2:30" ht="25.5" customHeight="1" x14ac:dyDescent="0.25">
      <c r="B55" s="184" t="s">
        <v>193</v>
      </c>
      <c r="C55" s="185"/>
      <c r="D55" s="185"/>
      <c r="E55" s="185"/>
      <c r="F55" s="185"/>
      <c r="G55" s="185"/>
      <c r="H55" s="186" t="s">
        <v>168</v>
      </c>
      <c r="I55" s="187" t="s">
        <v>48</v>
      </c>
      <c r="J55" s="186" t="s">
        <v>164</v>
      </c>
      <c r="K55" s="185"/>
      <c r="L55" s="188" t="s">
        <v>49</v>
      </c>
      <c r="M55" s="189" t="str">
        <f>IF(E6&gt;0,($H$53-$H$47),"")</f>
        <v/>
      </c>
      <c r="N55" s="190"/>
      <c r="O55" s="190"/>
      <c r="P55" s="190"/>
      <c r="Q55" s="191" t="s">
        <v>50</v>
      </c>
      <c r="R55" s="192"/>
      <c r="S55" s="192"/>
      <c r="T55" s="192"/>
      <c r="U55" s="1"/>
      <c r="V55" s="8"/>
    </row>
    <row r="56" spans="2:30" ht="25.5" customHeight="1" x14ac:dyDescent="0.25">
      <c r="B56" s="463" t="s">
        <v>188</v>
      </c>
      <c r="C56" s="464"/>
      <c r="D56" s="464"/>
      <c r="E56" s="464"/>
      <c r="F56" s="464"/>
      <c r="G56" s="464"/>
      <c r="H56" s="464"/>
      <c r="I56" s="464"/>
      <c r="J56" s="464"/>
      <c r="K56" s="464"/>
      <c r="L56" s="465"/>
      <c r="M56" s="193"/>
      <c r="N56" s="190"/>
      <c r="O56" s="190"/>
      <c r="P56" s="190"/>
      <c r="Q56" s="191" t="s">
        <v>51</v>
      </c>
      <c r="R56" s="192"/>
      <c r="S56" s="192"/>
      <c r="T56" s="192"/>
      <c r="U56" s="1"/>
      <c r="V56" s="8"/>
    </row>
    <row r="57" spans="2:30" s="1" customFormat="1" ht="25.5" customHeight="1" x14ac:dyDescent="0.25">
      <c r="B57" s="194" t="s">
        <v>52</v>
      </c>
      <c r="C57" s="185"/>
      <c r="D57" s="185"/>
      <c r="E57" s="274"/>
      <c r="F57" s="185"/>
      <c r="G57" s="185"/>
      <c r="H57" s="186" t="s">
        <v>168</v>
      </c>
      <c r="I57" s="185" t="s">
        <v>53</v>
      </c>
      <c r="J57" s="274"/>
      <c r="K57" s="185"/>
      <c r="L57" s="185"/>
      <c r="M57" s="195" t="s">
        <v>168</v>
      </c>
      <c r="N57" s="190"/>
      <c r="O57" s="190"/>
      <c r="P57" s="190"/>
      <c r="Q57" s="190" t="s">
        <v>54</v>
      </c>
      <c r="R57" s="196"/>
      <c r="S57" s="196"/>
      <c r="T57" s="196"/>
      <c r="V57" s="8"/>
      <c r="W57" s="233"/>
      <c r="X57" s="233"/>
      <c r="Y57" s="233"/>
      <c r="Z57" s="233"/>
      <c r="AA57" s="233"/>
      <c r="AB57" s="233"/>
      <c r="AC57" s="233"/>
      <c r="AD57" s="233"/>
    </row>
    <row r="58" spans="2:30" s="1" customFormat="1" ht="24" hidden="1" customHeight="1" x14ac:dyDescent="0.2">
      <c r="E58" s="197"/>
      <c r="F58" s="197"/>
      <c r="G58" s="197"/>
      <c r="H58" s="198"/>
      <c r="I58" s="198"/>
      <c r="L58" s="8"/>
      <c r="M58" s="275" t="str">
        <f>IF(E6&gt;0,ROUND(($M$56/$M$55)/12,2),"")</f>
        <v/>
      </c>
      <c r="V58" s="8"/>
    </row>
    <row r="59" spans="2:30" s="1" customFormat="1" ht="16.5" customHeight="1" x14ac:dyDescent="0.2">
      <c r="B59" s="527"/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V59" s="8"/>
    </row>
    <row r="60" spans="2:30" s="1" customFormat="1" ht="40.5" customHeight="1" x14ac:dyDescent="0.65">
      <c r="B60" s="199" t="s">
        <v>55</v>
      </c>
      <c r="E60" s="197"/>
      <c r="F60" s="197"/>
      <c r="G60" s="197"/>
      <c r="H60" s="198"/>
      <c r="I60" s="198"/>
      <c r="L60" s="8"/>
      <c r="V60" s="8"/>
    </row>
    <row r="61" spans="2:30" s="1" customFormat="1" ht="30.75" customHeight="1" x14ac:dyDescent="0.65">
      <c r="B61" s="276" t="s">
        <v>56</v>
      </c>
      <c r="C61" s="208"/>
      <c r="D61" s="208"/>
      <c r="E61" s="208"/>
      <c r="F61" s="208"/>
      <c r="G61" s="208"/>
      <c r="H61" s="208"/>
      <c r="I61" s="208"/>
      <c r="J61" s="208"/>
      <c r="K61" s="209"/>
      <c r="L61" s="210"/>
      <c r="M61" s="209"/>
      <c r="N61" s="209"/>
      <c r="O61" s="209"/>
      <c r="P61" s="209"/>
      <c r="Q61" s="209"/>
      <c r="V61" s="8"/>
    </row>
    <row r="62" spans="2:30" s="1" customFormat="1" ht="30.75" customHeight="1" x14ac:dyDescent="0.65">
      <c r="B62" s="276" t="s">
        <v>57</v>
      </c>
      <c r="C62" s="276"/>
      <c r="D62" s="276"/>
      <c r="E62" s="276"/>
      <c r="F62" s="276"/>
      <c r="G62" s="276"/>
      <c r="H62" s="276"/>
      <c r="I62" s="276"/>
      <c r="J62" s="276"/>
      <c r="K62" s="209"/>
      <c r="L62" s="210"/>
      <c r="M62" s="209"/>
      <c r="N62" s="209"/>
      <c r="O62" s="209"/>
      <c r="P62" s="209"/>
      <c r="Q62" s="209"/>
      <c r="V62" s="8"/>
    </row>
    <row r="63" spans="2:30" ht="30.75" customHeight="1" x14ac:dyDescent="0.65">
      <c r="B63" s="276" t="s">
        <v>58</v>
      </c>
      <c r="C63" s="276"/>
      <c r="D63" s="276"/>
      <c r="E63" s="276"/>
      <c r="F63" s="276"/>
      <c r="G63" s="276"/>
      <c r="H63" s="276"/>
      <c r="I63" s="276"/>
      <c r="J63" s="276"/>
      <c r="K63" s="209"/>
      <c r="L63" s="210"/>
      <c r="M63" s="209"/>
      <c r="N63" s="209"/>
      <c r="O63" s="209"/>
      <c r="P63" s="209"/>
      <c r="Q63" s="209"/>
      <c r="R63" s="1"/>
      <c r="S63" s="1"/>
      <c r="T63" s="1"/>
      <c r="U63" s="1"/>
      <c r="V63" s="8"/>
    </row>
    <row r="64" spans="2:30" ht="30.75" customHeight="1" x14ac:dyDescent="0.65">
      <c r="B64" s="276" t="s">
        <v>59</v>
      </c>
      <c r="C64" s="276"/>
      <c r="D64" s="276"/>
      <c r="E64" s="276"/>
      <c r="F64" s="276"/>
      <c r="G64" s="276"/>
      <c r="H64" s="276"/>
      <c r="I64" s="276"/>
      <c r="J64" s="276"/>
      <c r="K64" s="209"/>
      <c r="L64" s="210"/>
      <c r="M64" s="209"/>
      <c r="N64" s="209"/>
      <c r="O64" s="209"/>
      <c r="P64" s="209"/>
      <c r="Q64" s="209"/>
      <c r="R64" s="1"/>
      <c r="S64" s="1"/>
      <c r="T64" s="1"/>
      <c r="U64" s="1"/>
      <c r="V64" s="8"/>
    </row>
    <row r="65" spans="2:22" ht="30.75" customHeight="1" x14ac:dyDescent="0.65">
      <c r="B65" s="276" t="s">
        <v>60</v>
      </c>
      <c r="C65" s="276"/>
      <c r="D65" s="276"/>
      <c r="E65" s="276"/>
      <c r="F65" s="276"/>
      <c r="G65" s="276"/>
      <c r="H65" s="276"/>
      <c r="I65" s="276"/>
      <c r="J65" s="276"/>
      <c r="K65" s="209"/>
      <c r="L65" s="210"/>
      <c r="M65" s="209"/>
      <c r="N65" s="209"/>
      <c r="O65" s="209"/>
      <c r="P65" s="209"/>
      <c r="Q65" s="209"/>
      <c r="R65" s="1"/>
      <c r="S65" s="1"/>
      <c r="T65" s="1"/>
      <c r="U65" s="1"/>
      <c r="V65" s="8"/>
    </row>
    <row r="66" spans="2:22" ht="30.75" customHeight="1" x14ac:dyDescent="0.65">
      <c r="B66" s="276" t="s">
        <v>169</v>
      </c>
      <c r="C66" s="208"/>
      <c r="D66" s="208"/>
      <c r="E66" s="208"/>
      <c r="F66" s="208"/>
      <c r="G66" s="208"/>
      <c r="H66" s="208"/>
      <c r="I66" s="208"/>
      <c r="J66" s="208"/>
      <c r="K66" s="209"/>
      <c r="L66" s="210"/>
      <c r="M66" s="209"/>
      <c r="N66" s="209"/>
      <c r="O66" s="209"/>
      <c r="P66" s="209"/>
      <c r="Q66" s="209"/>
      <c r="R66" s="1"/>
      <c r="S66" s="1"/>
      <c r="T66" s="1"/>
      <c r="U66" s="1"/>
      <c r="V66" s="8"/>
    </row>
    <row r="67" spans="2:22" ht="30.75" customHeight="1" x14ac:dyDescent="0.65">
      <c r="B67" s="276" t="s">
        <v>170</v>
      </c>
      <c r="C67" s="208"/>
      <c r="D67" s="208"/>
      <c r="E67" s="208"/>
      <c r="F67" s="208"/>
      <c r="G67" s="208"/>
      <c r="H67" s="208"/>
      <c r="I67" s="208"/>
      <c r="J67" s="208"/>
      <c r="K67" s="209"/>
      <c r="L67" s="210"/>
      <c r="M67" s="209"/>
      <c r="N67" s="209"/>
      <c r="O67" s="209"/>
      <c r="P67" s="209"/>
      <c r="Q67" s="209"/>
      <c r="R67" s="1"/>
      <c r="S67" s="1"/>
      <c r="T67" s="1"/>
      <c r="U67" s="1"/>
      <c r="V67" s="8"/>
    </row>
    <row r="68" spans="2:22" ht="26.25" customHeight="1" x14ac:dyDescent="0.65">
      <c r="B68" s="207" t="s">
        <v>6</v>
      </c>
      <c r="C68" s="207" t="s">
        <v>7</v>
      </c>
      <c r="D68" s="207"/>
      <c r="E68" s="207" t="s">
        <v>23</v>
      </c>
      <c r="F68" s="208"/>
      <c r="G68" s="208"/>
      <c r="H68" s="457" t="s">
        <v>24</v>
      </c>
      <c r="I68" s="458"/>
      <c r="J68" s="208"/>
      <c r="K68" s="209"/>
      <c r="L68" s="210"/>
      <c r="M68" s="209"/>
      <c r="N68" s="209"/>
      <c r="O68" s="209"/>
      <c r="P68" s="209"/>
      <c r="Q68" s="209"/>
      <c r="R68" s="1"/>
      <c r="S68" s="1"/>
      <c r="T68" s="1"/>
      <c r="U68" s="1"/>
      <c r="V68" s="8"/>
    </row>
    <row r="69" spans="2:22" ht="38.25" customHeight="1" x14ac:dyDescent="0.65">
      <c r="B69" s="277">
        <v>40087</v>
      </c>
      <c r="C69" s="277">
        <v>40268</v>
      </c>
      <c r="D69" s="107"/>
      <c r="E69" s="278">
        <f t="shared" ref="E69:E73" si="8">IF(B69&gt;0,MONTH(C69-B69),0)</f>
        <v>6</v>
      </c>
      <c r="F69" s="208"/>
      <c r="G69" s="208"/>
      <c r="H69" s="525"/>
      <c r="I69" s="526"/>
      <c r="J69" s="208"/>
      <c r="K69" s="209"/>
      <c r="L69" s="210"/>
      <c r="M69" s="209"/>
      <c r="N69" s="209"/>
      <c r="O69" s="209"/>
      <c r="P69" s="209"/>
      <c r="Q69" s="209"/>
      <c r="R69" s="1"/>
      <c r="S69" s="1"/>
      <c r="T69" s="1"/>
      <c r="U69" s="1"/>
      <c r="V69" s="8"/>
    </row>
    <row r="70" spans="2:22" ht="38.25" customHeight="1" x14ac:dyDescent="0.65">
      <c r="B70" s="277">
        <v>40269</v>
      </c>
      <c r="C70" s="277">
        <v>40451</v>
      </c>
      <c r="D70" s="107"/>
      <c r="E70" s="278">
        <f t="shared" si="8"/>
        <v>6</v>
      </c>
      <c r="F70" s="208"/>
      <c r="G70" s="208"/>
      <c r="H70" s="525"/>
      <c r="I70" s="526"/>
      <c r="J70" s="208"/>
      <c r="K70" s="209"/>
      <c r="L70" s="210"/>
      <c r="M70" s="209"/>
      <c r="N70" s="209"/>
      <c r="O70" s="209"/>
      <c r="P70" s="209"/>
      <c r="Q70" s="209"/>
      <c r="R70" s="1"/>
      <c r="S70" s="1"/>
      <c r="T70" s="1"/>
      <c r="U70" s="1"/>
      <c r="V70" s="8"/>
    </row>
    <row r="71" spans="2:22" ht="38.25" customHeight="1" x14ac:dyDescent="0.65">
      <c r="B71" s="277">
        <v>40452</v>
      </c>
      <c r="C71" s="277">
        <v>40574</v>
      </c>
      <c r="D71" s="107"/>
      <c r="E71" s="278">
        <f t="shared" si="8"/>
        <v>5</v>
      </c>
      <c r="F71" s="208"/>
      <c r="G71" s="208"/>
      <c r="H71" s="525"/>
      <c r="I71" s="526"/>
      <c r="J71" s="276" t="s">
        <v>63</v>
      </c>
      <c r="K71" s="209"/>
      <c r="L71" s="210"/>
      <c r="M71" s="209"/>
      <c r="N71" s="209"/>
      <c r="O71" s="209"/>
      <c r="P71" s="209"/>
      <c r="Q71" s="209"/>
      <c r="R71" s="1"/>
      <c r="S71" s="1"/>
      <c r="T71" s="1"/>
      <c r="U71" s="1"/>
      <c r="V71" s="8"/>
    </row>
    <row r="72" spans="2:22" ht="38.25" customHeight="1" x14ac:dyDescent="0.65">
      <c r="B72" s="277">
        <v>40452</v>
      </c>
      <c r="C72" s="277">
        <v>40573</v>
      </c>
      <c r="D72" s="107"/>
      <c r="E72" s="278">
        <f t="shared" si="8"/>
        <v>4</v>
      </c>
      <c r="F72" s="208"/>
      <c r="G72" s="208"/>
      <c r="H72" s="525"/>
      <c r="I72" s="526"/>
      <c r="J72" s="215" t="s">
        <v>64</v>
      </c>
      <c r="K72" s="209"/>
      <c r="L72" s="210"/>
      <c r="M72" s="209"/>
      <c r="N72" s="209"/>
      <c r="O72" s="209"/>
      <c r="P72" s="209"/>
      <c r="Q72" s="209"/>
      <c r="R72" s="1"/>
      <c r="S72" s="1"/>
      <c r="T72" s="1"/>
      <c r="U72" s="1"/>
      <c r="V72" s="8"/>
    </row>
    <row r="73" spans="2:22" ht="38.25" customHeight="1" x14ac:dyDescent="0.65">
      <c r="B73" s="277">
        <v>40575</v>
      </c>
      <c r="C73" s="277">
        <v>40633</v>
      </c>
      <c r="D73" s="107"/>
      <c r="E73" s="278">
        <f t="shared" si="8"/>
        <v>2</v>
      </c>
      <c r="F73" s="208"/>
      <c r="G73" s="208"/>
      <c r="H73" s="525"/>
      <c r="I73" s="526"/>
      <c r="J73" s="215"/>
      <c r="K73" s="209"/>
      <c r="L73" s="210"/>
      <c r="M73" s="209"/>
      <c r="N73" s="209"/>
      <c r="O73" s="209"/>
      <c r="P73" s="209"/>
      <c r="Q73" s="209"/>
      <c r="R73" s="1"/>
      <c r="S73" s="1"/>
      <c r="T73" s="1"/>
      <c r="U73" s="1"/>
      <c r="V73" s="8"/>
    </row>
    <row r="74" spans="2:22" ht="11.25" customHeight="1" x14ac:dyDescent="0.65">
      <c r="B74" s="216"/>
      <c r="C74" s="216"/>
      <c r="D74" s="217"/>
      <c r="E74" s="218"/>
      <c r="F74" s="219"/>
      <c r="G74" s="219"/>
      <c r="H74" s="220"/>
      <c r="I74" s="220"/>
      <c r="J74" s="215"/>
      <c r="K74" s="209"/>
      <c r="L74" s="210"/>
      <c r="M74" s="209"/>
      <c r="N74" s="209"/>
      <c r="O74" s="209"/>
      <c r="P74" s="209"/>
      <c r="Q74" s="209"/>
      <c r="R74" s="1"/>
      <c r="S74" s="1"/>
      <c r="T74" s="1"/>
      <c r="U74" s="1"/>
      <c r="V74" s="8"/>
    </row>
    <row r="75" spans="2:22" ht="34.5" customHeight="1" x14ac:dyDescent="0.65">
      <c r="B75" s="276" t="s">
        <v>94</v>
      </c>
      <c r="C75" s="1"/>
      <c r="D75" s="1"/>
      <c r="E75" s="1"/>
      <c r="F75" s="1"/>
      <c r="G75" s="1"/>
      <c r="H75" s="1"/>
      <c r="I75" s="1"/>
      <c r="J75" s="1"/>
      <c r="K75" s="1"/>
      <c r="L75" s="8"/>
      <c r="M75" s="1"/>
      <c r="N75" s="1"/>
      <c r="O75" s="1"/>
      <c r="P75" s="1"/>
      <c r="Q75" s="1"/>
      <c r="R75" s="1"/>
      <c r="S75" s="1"/>
      <c r="T75" s="1"/>
      <c r="U75" s="1"/>
      <c r="V75" s="8"/>
    </row>
    <row r="76" spans="2:22" ht="34.5" customHeight="1" x14ac:dyDescent="0.65">
      <c r="B76" s="276" t="s">
        <v>95</v>
      </c>
      <c r="C76" s="1"/>
      <c r="D76" s="1"/>
      <c r="E76" s="1"/>
      <c r="F76" s="1"/>
      <c r="G76" s="1"/>
      <c r="H76" s="1"/>
      <c r="I76" s="1"/>
      <c r="J76" s="1"/>
      <c r="K76" s="1"/>
      <c r="L76" s="8"/>
      <c r="M76" s="1"/>
      <c r="N76" s="1"/>
      <c r="O76" s="1"/>
      <c r="P76" s="1"/>
      <c r="Q76" s="1"/>
      <c r="R76" s="1"/>
      <c r="S76" s="1"/>
      <c r="T76" s="1"/>
      <c r="U76" s="1"/>
      <c r="V76" s="8"/>
    </row>
    <row r="77" spans="2:22" ht="34.5" customHeight="1" x14ac:dyDescent="0.65">
      <c r="B77" s="276" t="s">
        <v>96</v>
      </c>
      <c r="C77" s="1"/>
      <c r="D77" s="1"/>
      <c r="E77" s="1"/>
      <c r="F77" s="1"/>
      <c r="G77" s="1"/>
      <c r="H77" s="1"/>
      <c r="I77" s="1"/>
      <c r="J77" s="1"/>
      <c r="K77" s="1"/>
      <c r="L77" s="8"/>
      <c r="M77" s="1"/>
      <c r="N77" s="1"/>
      <c r="O77" s="1"/>
      <c r="P77" s="1"/>
      <c r="Q77" s="1"/>
      <c r="R77" s="1"/>
      <c r="S77" s="1"/>
      <c r="T77" s="1"/>
      <c r="U77" s="1"/>
      <c r="V77" s="8"/>
    </row>
    <row r="78" spans="2:22" ht="27.75" customHeight="1" x14ac:dyDescent="0.65">
      <c r="B78" s="207" t="s">
        <v>6</v>
      </c>
      <c r="C78" s="207" t="s">
        <v>7</v>
      </c>
      <c r="D78" s="207"/>
      <c r="E78" s="207" t="s">
        <v>23</v>
      </c>
      <c r="F78" s="208"/>
      <c r="G78" s="208"/>
      <c r="H78" s="457" t="s">
        <v>24</v>
      </c>
      <c r="I78" s="458"/>
      <c r="J78" s="1"/>
      <c r="K78" s="1"/>
      <c r="L78" s="8"/>
      <c r="M78" s="1"/>
      <c r="N78" s="1"/>
      <c r="O78" s="1"/>
      <c r="P78" s="1"/>
      <c r="Q78" s="1"/>
      <c r="R78" s="1"/>
      <c r="S78" s="1"/>
      <c r="T78" s="1"/>
      <c r="U78" s="1"/>
      <c r="V78" s="8"/>
    </row>
    <row r="79" spans="2:22" ht="27" customHeight="1" x14ac:dyDescent="0.65">
      <c r="B79" s="277">
        <v>39600</v>
      </c>
      <c r="C79" s="277">
        <v>39721</v>
      </c>
      <c r="D79" s="107"/>
      <c r="E79" s="278">
        <f t="shared" ref="E79:E89" si="9">IF(B79&gt;0,MONTH(C79-B79),0)</f>
        <v>4</v>
      </c>
      <c r="F79" s="208"/>
      <c r="G79" s="208"/>
      <c r="H79" s="525"/>
      <c r="I79" s="526"/>
      <c r="J79" s="1"/>
      <c r="K79" s="1"/>
      <c r="L79" s="8"/>
      <c r="M79" s="1"/>
      <c r="N79" s="1"/>
      <c r="O79" s="1"/>
      <c r="P79" s="1"/>
      <c r="Q79" s="1"/>
      <c r="R79" s="1"/>
      <c r="S79" s="1"/>
      <c r="T79" s="1"/>
      <c r="U79" s="1"/>
      <c r="V79" s="8"/>
    </row>
    <row r="80" spans="2:22" ht="27" customHeight="1" x14ac:dyDescent="0.65">
      <c r="B80" s="277">
        <v>39722</v>
      </c>
      <c r="C80" s="277">
        <v>39903</v>
      </c>
      <c r="D80" s="107"/>
      <c r="E80" s="278">
        <f t="shared" si="9"/>
        <v>6</v>
      </c>
      <c r="F80" s="208"/>
      <c r="G80" s="208"/>
      <c r="H80" s="525"/>
      <c r="I80" s="526"/>
      <c r="J80" s="1"/>
      <c r="K80" s="1"/>
      <c r="L80" s="8"/>
      <c r="M80" s="1"/>
      <c r="N80" s="1"/>
      <c r="O80" s="1"/>
      <c r="P80" s="1"/>
      <c r="Q80" s="1"/>
      <c r="R80" s="1"/>
      <c r="S80" s="1"/>
      <c r="T80" s="1"/>
      <c r="U80" s="1"/>
      <c r="V80" s="8"/>
    </row>
    <row r="81" spans="2:22" ht="27" customHeight="1" x14ac:dyDescent="0.65">
      <c r="B81" s="277">
        <v>39904</v>
      </c>
      <c r="C81" s="277">
        <v>40086</v>
      </c>
      <c r="D81" s="107"/>
      <c r="E81" s="278">
        <f t="shared" si="9"/>
        <v>6</v>
      </c>
      <c r="F81" s="208"/>
      <c r="G81" s="208"/>
      <c r="H81" s="525"/>
      <c r="I81" s="526"/>
      <c r="J81" s="1"/>
      <c r="K81" s="1"/>
      <c r="L81" s="8"/>
      <c r="M81" s="1"/>
      <c r="N81" s="1"/>
      <c r="O81" s="1"/>
      <c r="P81" s="1"/>
      <c r="Q81" s="1"/>
      <c r="R81" s="1"/>
      <c r="S81" s="1"/>
      <c r="T81" s="1"/>
      <c r="U81" s="1"/>
      <c r="V81" s="8"/>
    </row>
    <row r="82" spans="2:22" ht="27" customHeight="1" x14ac:dyDescent="0.65">
      <c r="B82" s="277">
        <v>40087</v>
      </c>
      <c r="C82" s="277">
        <v>40268</v>
      </c>
      <c r="D82" s="107"/>
      <c r="E82" s="278">
        <f t="shared" si="9"/>
        <v>6</v>
      </c>
      <c r="F82" s="208"/>
      <c r="G82" s="208"/>
      <c r="H82" s="525"/>
      <c r="I82" s="526"/>
      <c r="J82" s="1"/>
      <c r="K82" s="1"/>
      <c r="L82" s="8"/>
      <c r="M82" s="1"/>
      <c r="N82" s="1"/>
      <c r="O82" s="1"/>
      <c r="P82" s="1"/>
      <c r="Q82" s="1"/>
      <c r="R82" s="1"/>
      <c r="S82" s="1"/>
      <c r="T82" s="1"/>
      <c r="U82" s="1"/>
      <c r="V82" s="8"/>
    </row>
    <row r="83" spans="2:22" ht="27" customHeight="1" x14ac:dyDescent="0.65">
      <c r="B83" s="277">
        <v>40269</v>
      </c>
      <c r="C83" s="277">
        <v>40451</v>
      </c>
      <c r="D83" s="107"/>
      <c r="E83" s="278">
        <f t="shared" si="9"/>
        <v>6</v>
      </c>
      <c r="F83" s="208"/>
      <c r="G83" s="208"/>
      <c r="H83" s="525"/>
      <c r="I83" s="526"/>
      <c r="J83" s="1"/>
      <c r="K83" s="1"/>
      <c r="L83" s="8"/>
      <c r="M83" s="1"/>
      <c r="N83" s="1"/>
      <c r="O83" s="1"/>
      <c r="P83" s="1"/>
      <c r="Q83" s="1"/>
      <c r="R83" s="1"/>
      <c r="S83" s="1"/>
      <c r="T83" s="1"/>
      <c r="U83" s="1"/>
      <c r="V83" s="8"/>
    </row>
    <row r="84" spans="2:22" ht="27" customHeight="1" x14ac:dyDescent="0.65">
      <c r="B84" s="277">
        <v>40452</v>
      </c>
      <c r="C84" s="277">
        <v>40633</v>
      </c>
      <c r="D84" s="107"/>
      <c r="E84" s="278">
        <f t="shared" si="9"/>
        <v>6</v>
      </c>
      <c r="F84" s="208"/>
      <c r="G84" s="208"/>
      <c r="H84" s="525"/>
      <c r="I84" s="526"/>
      <c r="J84" s="1"/>
      <c r="K84" s="1"/>
      <c r="L84" s="8"/>
      <c r="M84" s="1"/>
      <c r="N84" s="1"/>
      <c r="O84" s="1"/>
      <c r="P84" s="1"/>
      <c r="Q84" s="1"/>
      <c r="R84" s="1"/>
      <c r="S84" s="1"/>
      <c r="T84" s="1"/>
      <c r="U84" s="1"/>
      <c r="V84" s="8"/>
    </row>
    <row r="85" spans="2:22" ht="27" customHeight="1" x14ac:dyDescent="0.65">
      <c r="B85" s="277">
        <v>40634</v>
      </c>
      <c r="C85" s="277">
        <v>40816</v>
      </c>
      <c r="D85" s="107"/>
      <c r="E85" s="278">
        <f t="shared" si="9"/>
        <v>6</v>
      </c>
      <c r="F85" s="208"/>
      <c r="G85" s="208"/>
      <c r="H85" s="525"/>
      <c r="I85" s="526"/>
      <c r="J85" s="1"/>
      <c r="K85" s="1"/>
      <c r="L85" s="8"/>
      <c r="M85" s="1"/>
      <c r="N85" s="1"/>
      <c r="O85" s="1"/>
      <c r="P85" s="1"/>
      <c r="Q85" s="1"/>
      <c r="R85" s="1"/>
      <c r="S85" s="1"/>
      <c r="T85" s="1"/>
      <c r="U85" s="1"/>
      <c r="V85" s="8"/>
    </row>
    <row r="86" spans="2:22" ht="27" customHeight="1" x14ac:dyDescent="0.65">
      <c r="B86" s="277">
        <v>40817</v>
      </c>
      <c r="C86" s="277">
        <v>40999</v>
      </c>
      <c r="D86" s="107"/>
      <c r="E86" s="278">
        <f t="shared" si="9"/>
        <v>6</v>
      </c>
      <c r="F86" s="208"/>
      <c r="G86" s="208"/>
      <c r="H86" s="525"/>
      <c r="I86" s="526"/>
      <c r="J86" s="1"/>
      <c r="K86" s="1"/>
      <c r="L86" s="8"/>
      <c r="M86" s="1"/>
      <c r="N86" s="1"/>
      <c r="O86" s="1"/>
      <c r="P86" s="1"/>
      <c r="Q86" s="1"/>
      <c r="R86" s="1"/>
      <c r="S86" s="1"/>
      <c r="T86" s="1"/>
      <c r="U86" s="1"/>
      <c r="V86" s="8"/>
    </row>
    <row r="87" spans="2:22" ht="27" customHeight="1" x14ac:dyDescent="0.65">
      <c r="B87" s="277">
        <v>41000</v>
      </c>
      <c r="C87" s="277">
        <v>41182</v>
      </c>
      <c r="D87" s="107"/>
      <c r="E87" s="278">
        <f t="shared" si="9"/>
        <v>6</v>
      </c>
      <c r="F87" s="208"/>
      <c r="G87" s="208"/>
      <c r="H87" s="525"/>
      <c r="I87" s="526"/>
      <c r="J87" s="1"/>
      <c r="K87" s="1"/>
      <c r="L87" s="8"/>
      <c r="M87" s="1"/>
      <c r="N87" s="1"/>
      <c r="O87" s="1"/>
      <c r="P87" s="1"/>
      <c r="Q87" s="1"/>
      <c r="R87" s="1"/>
      <c r="S87" s="1"/>
      <c r="T87" s="1"/>
      <c r="U87" s="1"/>
      <c r="V87" s="8"/>
    </row>
    <row r="88" spans="2:22" ht="27" customHeight="1" x14ac:dyDescent="0.65">
      <c r="B88" s="277">
        <v>41183</v>
      </c>
      <c r="C88" s="277">
        <v>41364</v>
      </c>
      <c r="D88" s="107"/>
      <c r="E88" s="278">
        <f t="shared" si="9"/>
        <v>6</v>
      </c>
      <c r="F88" s="208"/>
      <c r="G88" s="208"/>
      <c r="H88" s="525"/>
      <c r="I88" s="526"/>
      <c r="J88" s="1"/>
      <c r="K88" s="1"/>
      <c r="L88" s="8"/>
      <c r="M88" s="1"/>
      <c r="N88" s="1"/>
      <c r="O88" s="1"/>
      <c r="P88" s="1"/>
      <c r="Q88" s="1"/>
      <c r="R88" s="1"/>
      <c r="S88" s="1"/>
      <c r="T88" s="1"/>
      <c r="U88" s="1"/>
      <c r="V88" s="8"/>
    </row>
    <row r="89" spans="2:22" ht="27" customHeight="1" x14ac:dyDescent="0.65">
      <c r="B89" s="277">
        <v>41365</v>
      </c>
      <c r="C89" s="277">
        <v>41425</v>
      </c>
      <c r="D89" s="107"/>
      <c r="E89" s="278">
        <f t="shared" si="9"/>
        <v>2</v>
      </c>
      <c r="F89" s="208"/>
      <c r="G89" s="208"/>
      <c r="H89" s="525"/>
      <c r="I89" s="526"/>
      <c r="J89" s="1"/>
      <c r="K89" s="1"/>
      <c r="L89" s="8"/>
      <c r="M89" s="1"/>
      <c r="N89" s="1"/>
      <c r="O89" s="1"/>
      <c r="P89" s="1"/>
      <c r="Q89" s="1"/>
      <c r="R89" s="1"/>
      <c r="S89" s="1"/>
      <c r="T89" s="1"/>
      <c r="U89" s="1"/>
      <c r="V89" s="8"/>
    </row>
    <row r="90" spans="2:22" ht="21.75" customHeight="1" x14ac:dyDescent="0.2">
      <c r="B90" s="1"/>
      <c r="C90" s="279" t="s">
        <v>68</v>
      </c>
      <c r="D90" s="280"/>
      <c r="E90" s="224">
        <f>SUM(E79:E89)</f>
        <v>60</v>
      </c>
      <c r="F90" s="1"/>
      <c r="G90" s="1"/>
      <c r="H90" s="1"/>
      <c r="I90" s="1"/>
      <c r="J90" s="1"/>
      <c r="K90" s="1"/>
      <c r="L90" s="8"/>
      <c r="M90" s="1"/>
      <c r="N90" s="1"/>
      <c r="O90" s="1"/>
      <c r="P90" s="1"/>
      <c r="Q90" s="1"/>
      <c r="R90" s="1"/>
      <c r="S90" s="1"/>
      <c r="T90" s="1"/>
      <c r="U90" s="1"/>
      <c r="V90" s="8"/>
    </row>
    <row r="91" spans="2:22" ht="20.2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8"/>
      <c r="M91" s="1"/>
      <c r="N91" s="1"/>
      <c r="O91" s="1"/>
      <c r="P91" s="1"/>
      <c r="Q91" s="1"/>
      <c r="R91" s="1"/>
      <c r="S91" s="1"/>
      <c r="T91" s="1"/>
      <c r="U91" s="1"/>
      <c r="V91" s="8"/>
    </row>
    <row r="92" spans="2:22" ht="34.5" customHeight="1" x14ac:dyDescent="0.65">
      <c r="B92" s="276" t="s">
        <v>97</v>
      </c>
      <c r="C92" s="1"/>
      <c r="D92" s="1"/>
      <c r="E92" s="1"/>
      <c r="F92" s="1"/>
      <c r="G92" s="1"/>
      <c r="H92" s="1"/>
      <c r="I92" s="1"/>
      <c r="J92" s="1"/>
      <c r="K92" s="1"/>
      <c r="L92" s="8"/>
      <c r="M92" s="1"/>
      <c r="N92" s="1"/>
      <c r="O92" s="1"/>
      <c r="P92" s="1"/>
      <c r="Q92" s="1"/>
      <c r="R92" s="1"/>
      <c r="S92" s="1"/>
      <c r="T92" s="1"/>
      <c r="U92" s="1"/>
      <c r="V92" s="8"/>
    </row>
    <row r="93" spans="2:22" ht="34.5" customHeight="1" x14ac:dyDescent="0.65">
      <c r="B93" s="276" t="s">
        <v>70</v>
      </c>
      <c r="C93" s="1"/>
      <c r="D93" s="1"/>
      <c r="E93" s="1"/>
      <c r="F93" s="1"/>
      <c r="G93" s="1"/>
      <c r="H93" s="1"/>
      <c r="I93" s="1"/>
      <c r="J93" s="1"/>
      <c r="K93" s="1"/>
      <c r="L93" s="8"/>
      <c r="M93" s="1"/>
      <c r="N93" s="1"/>
      <c r="O93" s="1"/>
      <c r="P93" s="1"/>
      <c r="Q93" s="1"/>
      <c r="R93" s="1"/>
      <c r="S93" s="1"/>
      <c r="T93" s="1"/>
      <c r="U93" s="1"/>
      <c r="V93" s="8"/>
    </row>
    <row r="94" spans="2:22" ht="34.5" customHeight="1" x14ac:dyDescent="0.65">
      <c r="B94" s="276" t="s">
        <v>71</v>
      </c>
      <c r="C94" s="1"/>
      <c r="D94" s="1"/>
      <c r="E94" s="1"/>
      <c r="F94" s="1"/>
      <c r="G94" s="1"/>
      <c r="H94" s="1"/>
      <c r="I94" s="1"/>
      <c r="J94" s="1"/>
      <c r="K94" s="1"/>
      <c r="L94" s="8"/>
      <c r="M94" s="1"/>
      <c r="N94" s="1"/>
      <c r="O94" s="1"/>
      <c r="P94" s="1"/>
      <c r="Q94" s="1"/>
      <c r="R94" s="1"/>
      <c r="S94" s="1"/>
      <c r="T94" s="1"/>
      <c r="U94" s="1"/>
      <c r="V94" s="8"/>
    </row>
    <row r="95" spans="2:22" ht="14.2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1"/>
      <c r="N95" s="1"/>
      <c r="O95" s="1"/>
      <c r="P95" s="1"/>
      <c r="Q95" s="1"/>
      <c r="R95" s="1"/>
      <c r="S95" s="1"/>
      <c r="T95" s="1"/>
      <c r="U95" s="1"/>
      <c r="V95" s="8"/>
    </row>
    <row r="96" spans="2:22" ht="24.75" customHeight="1" x14ac:dyDescent="0.65">
      <c r="B96" s="207" t="s">
        <v>6</v>
      </c>
      <c r="C96" s="207" t="s">
        <v>7</v>
      </c>
      <c r="D96" s="207"/>
      <c r="E96" s="207" t="s">
        <v>23</v>
      </c>
      <c r="F96" s="208"/>
      <c r="G96" s="208"/>
      <c r="H96" s="457" t="s">
        <v>24</v>
      </c>
      <c r="I96" s="458"/>
      <c r="J96" s="1"/>
      <c r="K96" s="1"/>
      <c r="L96" s="8"/>
      <c r="M96" s="1"/>
      <c r="N96" s="1"/>
      <c r="O96" s="1"/>
      <c r="P96" s="1"/>
      <c r="Q96" s="1"/>
      <c r="R96" s="1"/>
      <c r="S96" s="1"/>
      <c r="T96" s="1"/>
      <c r="U96" s="1"/>
      <c r="V96" s="8"/>
    </row>
    <row r="97" spans="2:22" ht="27" customHeight="1" x14ac:dyDescent="0.65">
      <c r="B97" s="281">
        <v>39569</v>
      </c>
      <c r="C97" s="281">
        <v>39721</v>
      </c>
      <c r="D97" s="282"/>
      <c r="E97" s="278">
        <f t="shared" ref="E97:E107" si="10">IF(B97&gt;0,MONTH(C97-B97),0)</f>
        <v>5</v>
      </c>
      <c r="F97" s="283"/>
      <c r="G97" s="283"/>
      <c r="H97" s="525"/>
      <c r="I97" s="526"/>
      <c r="J97" s="1"/>
      <c r="K97" s="1"/>
      <c r="L97" s="8"/>
      <c r="M97" s="1"/>
      <c r="N97" s="1"/>
      <c r="O97" s="1"/>
      <c r="P97" s="1"/>
      <c r="Q97" s="1"/>
      <c r="R97" s="1"/>
      <c r="S97" s="1"/>
      <c r="T97" s="1"/>
      <c r="U97" s="1"/>
      <c r="V97" s="8"/>
    </row>
    <row r="98" spans="2:22" ht="27" customHeight="1" x14ac:dyDescent="0.65">
      <c r="B98" s="281">
        <v>39722</v>
      </c>
      <c r="C98" s="281">
        <v>39903</v>
      </c>
      <c r="D98" s="282"/>
      <c r="E98" s="278">
        <f t="shared" si="10"/>
        <v>6</v>
      </c>
      <c r="F98" s="283"/>
      <c r="G98" s="283"/>
      <c r="H98" s="525"/>
      <c r="I98" s="526"/>
      <c r="J98" s="1"/>
      <c r="K98" s="1"/>
      <c r="L98" s="8"/>
      <c r="M98" s="1"/>
      <c r="N98" s="1"/>
      <c r="O98" s="1"/>
      <c r="P98" s="1"/>
      <c r="Q98" s="1"/>
      <c r="R98" s="1"/>
      <c r="S98" s="1"/>
      <c r="T98" s="1"/>
      <c r="U98" s="1"/>
      <c r="V98" s="8"/>
    </row>
    <row r="99" spans="2:22" ht="27" customHeight="1" x14ac:dyDescent="0.65">
      <c r="B99" s="281">
        <v>39904</v>
      </c>
      <c r="C99" s="281">
        <v>40086</v>
      </c>
      <c r="D99" s="282"/>
      <c r="E99" s="278">
        <f t="shared" si="10"/>
        <v>6</v>
      </c>
      <c r="F99" s="283"/>
      <c r="G99" s="283"/>
      <c r="H99" s="525"/>
      <c r="I99" s="526"/>
      <c r="J99" s="1"/>
      <c r="K99" s="1"/>
      <c r="L99" s="8"/>
      <c r="M99" s="1"/>
      <c r="N99" s="1"/>
      <c r="O99" s="1"/>
      <c r="P99" s="1"/>
      <c r="Q99" s="1"/>
      <c r="R99" s="1"/>
      <c r="S99" s="1"/>
      <c r="T99" s="1"/>
      <c r="U99" s="1"/>
      <c r="V99" s="8"/>
    </row>
    <row r="100" spans="2:22" ht="27" customHeight="1" x14ac:dyDescent="0.65">
      <c r="B100" s="281">
        <v>40087</v>
      </c>
      <c r="C100" s="281">
        <v>40268</v>
      </c>
      <c r="D100" s="282"/>
      <c r="E100" s="278">
        <f t="shared" si="10"/>
        <v>6</v>
      </c>
      <c r="F100" s="283"/>
      <c r="G100" s="283"/>
      <c r="H100" s="525"/>
      <c r="I100" s="526"/>
      <c r="J100" s="1"/>
      <c r="K100" s="1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8"/>
    </row>
    <row r="101" spans="2:22" ht="27" customHeight="1" x14ac:dyDescent="0.65">
      <c r="B101" s="281">
        <v>40269</v>
      </c>
      <c r="C101" s="281">
        <v>40451</v>
      </c>
      <c r="D101" s="282"/>
      <c r="E101" s="278">
        <f t="shared" si="10"/>
        <v>6</v>
      </c>
      <c r="F101" s="283"/>
      <c r="G101" s="283"/>
      <c r="H101" s="525"/>
      <c r="I101" s="526"/>
      <c r="J101" s="1"/>
      <c r="K101" s="1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8"/>
    </row>
    <row r="102" spans="2:22" ht="27" customHeight="1" x14ac:dyDescent="0.65">
      <c r="B102" s="281">
        <v>40452</v>
      </c>
      <c r="C102" s="281">
        <v>40633</v>
      </c>
      <c r="D102" s="282"/>
      <c r="E102" s="278">
        <f t="shared" si="10"/>
        <v>6</v>
      </c>
      <c r="F102" s="283"/>
      <c r="G102" s="283"/>
      <c r="H102" s="525"/>
      <c r="I102" s="526"/>
      <c r="J102" s="1"/>
      <c r="K102" s="1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8"/>
    </row>
    <row r="103" spans="2:22" ht="27" customHeight="1" x14ac:dyDescent="0.65">
      <c r="B103" s="281">
        <v>40634</v>
      </c>
      <c r="C103" s="281">
        <v>40816</v>
      </c>
      <c r="D103" s="282"/>
      <c r="E103" s="278">
        <f t="shared" si="10"/>
        <v>6</v>
      </c>
      <c r="F103" s="283"/>
      <c r="G103" s="283"/>
      <c r="H103" s="525"/>
      <c r="I103" s="526"/>
      <c r="J103" s="1"/>
      <c r="K103" s="1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8"/>
    </row>
    <row r="104" spans="2:22" ht="27" customHeight="1" x14ac:dyDescent="0.65">
      <c r="B104" s="281">
        <v>40817</v>
      </c>
      <c r="C104" s="281">
        <v>40999</v>
      </c>
      <c r="D104" s="282"/>
      <c r="E104" s="278">
        <f t="shared" si="10"/>
        <v>6</v>
      </c>
      <c r="F104" s="283"/>
      <c r="G104" s="283"/>
      <c r="H104" s="525"/>
      <c r="I104" s="526"/>
      <c r="J104" s="1"/>
      <c r="K104" s="1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8"/>
    </row>
    <row r="105" spans="2:22" ht="27" customHeight="1" x14ac:dyDescent="0.65">
      <c r="B105" s="281">
        <v>41000</v>
      </c>
      <c r="C105" s="281">
        <v>41182</v>
      </c>
      <c r="D105" s="282"/>
      <c r="E105" s="278">
        <f t="shared" si="10"/>
        <v>6</v>
      </c>
      <c r="F105" s="283"/>
      <c r="G105" s="283"/>
      <c r="H105" s="525"/>
      <c r="I105" s="526"/>
      <c r="J105" s="1"/>
      <c r="K105" s="1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8"/>
    </row>
    <row r="106" spans="2:22" ht="27" customHeight="1" x14ac:dyDescent="0.65">
      <c r="B106" s="281">
        <v>41183</v>
      </c>
      <c r="C106" s="281">
        <v>41364</v>
      </c>
      <c r="D106" s="282"/>
      <c r="E106" s="278">
        <f t="shared" si="10"/>
        <v>6</v>
      </c>
      <c r="F106" s="283"/>
      <c r="G106" s="283"/>
      <c r="H106" s="525"/>
      <c r="I106" s="526"/>
      <c r="J106" s="1"/>
      <c r="K106" s="1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8"/>
    </row>
    <row r="107" spans="2:22" ht="27" customHeight="1" x14ac:dyDescent="0.65">
      <c r="B107" s="281">
        <v>41365</v>
      </c>
      <c r="C107" s="281">
        <v>41394</v>
      </c>
      <c r="D107" s="282"/>
      <c r="E107" s="278">
        <f t="shared" si="10"/>
        <v>1</v>
      </c>
      <c r="F107" s="283"/>
      <c r="G107" s="283"/>
      <c r="H107" s="525"/>
      <c r="I107" s="526"/>
      <c r="J107" s="1"/>
      <c r="K107" s="1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8"/>
    </row>
    <row r="108" spans="2:22" ht="29.25" customHeight="1" x14ac:dyDescent="0.2">
      <c r="B108" s="1"/>
      <c r="C108" s="279" t="s">
        <v>68</v>
      </c>
      <c r="D108" s="280"/>
      <c r="E108" s="224">
        <f>SUM(E97:E107)</f>
        <v>60</v>
      </c>
      <c r="F108" s="1"/>
      <c r="G108" s="1"/>
      <c r="H108" s="1"/>
      <c r="I108" s="1"/>
      <c r="J108" s="1"/>
      <c r="K108" s="1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8"/>
    </row>
    <row r="109" spans="2:22" ht="29.25" customHeight="1" x14ac:dyDescent="0.2">
      <c r="B109" s="1"/>
      <c r="C109" s="284"/>
      <c r="D109" s="104"/>
      <c r="E109" s="230"/>
      <c r="F109" s="1"/>
      <c r="G109" s="1"/>
      <c r="H109" s="1"/>
      <c r="I109" s="1"/>
      <c r="J109" s="1"/>
      <c r="K109" s="1"/>
      <c r="L109" s="8"/>
      <c r="M109" s="1"/>
      <c r="N109" s="1"/>
      <c r="O109" s="1"/>
      <c r="P109" s="1"/>
      <c r="Q109" s="1"/>
      <c r="R109" s="1"/>
      <c r="S109" s="1"/>
      <c r="T109" s="1"/>
      <c r="U109" s="1"/>
      <c r="V109" s="8"/>
    </row>
    <row r="110" spans="2:22" ht="29.25" customHeight="1" x14ac:dyDescent="0.65">
      <c r="B110" s="276" t="s">
        <v>98</v>
      </c>
      <c r="C110" s="228"/>
      <c r="D110" s="229"/>
      <c r="E110" s="230"/>
      <c r="F110" s="221"/>
      <c r="G110" s="221"/>
      <c r="H110" s="221"/>
      <c r="I110" s="221"/>
      <c r="J110" s="1"/>
      <c r="K110" s="1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8"/>
    </row>
    <row r="111" spans="2:22" ht="29.25" customHeight="1" x14ac:dyDescent="0.65">
      <c r="B111" s="276" t="s">
        <v>73</v>
      </c>
      <c r="C111" s="228"/>
      <c r="D111" s="229"/>
      <c r="E111" s="230"/>
      <c r="F111" s="221"/>
      <c r="G111" s="221"/>
      <c r="H111" s="221"/>
      <c r="I111" s="221"/>
      <c r="J111" s="1"/>
      <c r="K111" s="1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8"/>
    </row>
    <row r="112" spans="2:22" ht="29.25" customHeight="1" x14ac:dyDescent="0.65">
      <c r="B112" s="276" t="s">
        <v>74</v>
      </c>
      <c r="C112" s="228"/>
      <c r="D112" s="229"/>
      <c r="E112" s="230"/>
      <c r="F112" s="221"/>
      <c r="G112" s="221"/>
      <c r="H112" s="221"/>
      <c r="I112" s="221"/>
      <c r="J112" s="1"/>
      <c r="K112" s="1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8"/>
    </row>
    <row r="113" spans="2:22" ht="29.25" customHeight="1" x14ac:dyDescent="0.65">
      <c r="B113" s="276" t="s">
        <v>75</v>
      </c>
      <c r="C113" s="228"/>
      <c r="D113" s="229"/>
      <c r="E113" s="230"/>
      <c r="F113" s="221"/>
      <c r="G113" s="221"/>
      <c r="H113" s="221"/>
      <c r="I113" s="221"/>
      <c r="J113" s="1"/>
      <c r="K113" s="1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8"/>
    </row>
    <row r="114" spans="2:22" ht="16.5" customHeight="1" x14ac:dyDescent="0.2">
      <c r="B114" s="221"/>
      <c r="C114" s="228"/>
      <c r="D114" s="229"/>
      <c r="E114" s="230"/>
      <c r="F114" s="221"/>
      <c r="G114" s="221"/>
      <c r="H114" s="221"/>
      <c r="I114" s="221"/>
      <c r="J114" s="1"/>
      <c r="K114" s="1"/>
      <c r="L114" s="8"/>
      <c r="M114" s="1"/>
      <c r="N114" s="1"/>
      <c r="O114" s="1"/>
      <c r="P114" s="1"/>
      <c r="Q114" s="1"/>
      <c r="R114" s="1"/>
      <c r="S114" s="1"/>
      <c r="T114" s="1"/>
      <c r="U114" s="1"/>
      <c r="V114" s="8"/>
    </row>
    <row r="115" spans="2:22" ht="29.25" customHeight="1" x14ac:dyDescent="0.65">
      <c r="B115" s="207" t="s">
        <v>6</v>
      </c>
      <c r="C115" s="207" t="s">
        <v>7</v>
      </c>
      <c r="D115" s="207"/>
      <c r="E115" s="207" t="s">
        <v>23</v>
      </c>
      <c r="F115" s="208"/>
      <c r="G115" s="208"/>
      <c r="H115" s="457" t="s">
        <v>24</v>
      </c>
      <c r="I115" s="458"/>
      <c r="J115" s="1"/>
      <c r="K115" s="1"/>
      <c r="L115" s="8"/>
      <c r="M115" s="1"/>
      <c r="N115" s="1"/>
      <c r="O115" s="1"/>
      <c r="P115" s="1"/>
      <c r="Q115" s="1"/>
      <c r="R115" s="1"/>
      <c r="S115" s="1"/>
      <c r="T115" s="1"/>
      <c r="U115" s="1"/>
      <c r="V115" s="8"/>
    </row>
    <row r="116" spans="2:22" ht="26.25" customHeight="1" x14ac:dyDescent="0.35">
      <c r="B116" s="225">
        <v>39569</v>
      </c>
      <c r="C116" s="225">
        <v>39721</v>
      </c>
      <c r="D116" s="226"/>
      <c r="E116" s="213">
        <f t="shared" ref="E116:E127" si="11">IF(B116&gt;0,MONTH(C116-B116),0)</f>
        <v>5</v>
      </c>
      <c r="F116" s="227"/>
      <c r="G116" s="227"/>
      <c r="H116" s="455">
        <v>19080</v>
      </c>
      <c r="I116" s="456"/>
      <c r="J116" s="1"/>
      <c r="K116" s="1"/>
      <c r="L116" s="8"/>
      <c r="M116" s="1"/>
      <c r="N116" s="1"/>
      <c r="O116" s="1"/>
      <c r="P116" s="1"/>
      <c r="Q116" s="1"/>
      <c r="R116" s="1"/>
      <c r="S116" s="1"/>
      <c r="T116" s="1"/>
      <c r="U116" s="1"/>
      <c r="V116" s="8"/>
    </row>
    <row r="117" spans="2:22" ht="26.25" customHeight="1" x14ac:dyDescent="0.35">
      <c r="B117" s="225">
        <v>39722</v>
      </c>
      <c r="C117" s="225">
        <v>39903</v>
      </c>
      <c r="D117" s="226"/>
      <c r="E117" s="213">
        <f t="shared" si="11"/>
        <v>6</v>
      </c>
      <c r="F117" s="227"/>
      <c r="G117" s="227"/>
      <c r="H117" s="455">
        <v>19720</v>
      </c>
      <c r="I117" s="456"/>
      <c r="J117" s="1"/>
      <c r="K117" s="1"/>
      <c r="L117" s="8"/>
      <c r="M117" s="1"/>
      <c r="N117" s="1"/>
      <c r="O117" s="1"/>
      <c r="P117" s="1"/>
      <c r="Q117" s="1"/>
      <c r="R117" s="1"/>
      <c r="S117" s="1"/>
      <c r="T117" s="1"/>
      <c r="U117" s="1"/>
      <c r="V117" s="8"/>
    </row>
    <row r="118" spans="2:22" ht="26.25" customHeight="1" x14ac:dyDescent="0.35">
      <c r="B118" s="225">
        <v>39904</v>
      </c>
      <c r="C118" s="225">
        <v>40086</v>
      </c>
      <c r="D118" s="226"/>
      <c r="E118" s="213">
        <f t="shared" si="11"/>
        <v>6</v>
      </c>
      <c r="F118" s="227"/>
      <c r="G118" s="227"/>
      <c r="H118" s="455">
        <v>21980</v>
      </c>
      <c r="I118" s="456"/>
      <c r="J118" s="1"/>
      <c r="K118" s="1"/>
      <c r="L118" s="8"/>
      <c r="M118" s="1"/>
      <c r="N118" s="1"/>
      <c r="O118" s="1"/>
      <c r="P118" s="1"/>
      <c r="Q118" s="1"/>
      <c r="R118" s="1"/>
      <c r="S118" s="1"/>
      <c r="T118" s="1"/>
      <c r="U118" s="1"/>
      <c r="V118" s="8"/>
    </row>
    <row r="119" spans="2:22" ht="26.25" customHeight="1" x14ac:dyDescent="0.35">
      <c r="B119" s="225">
        <v>40087</v>
      </c>
      <c r="C119" s="225">
        <v>40178</v>
      </c>
      <c r="D119" s="226"/>
      <c r="E119" s="213">
        <f t="shared" si="11"/>
        <v>3</v>
      </c>
      <c r="F119" s="227"/>
      <c r="G119" s="227"/>
      <c r="H119" s="455">
        <v>22420</v>
      </c>
      <c r="I119" s="456"/>
      <c r="J119" s="1"/>
      <c r="K119" s="1"/>
      <c r="L119" s="8"/>
      <c r="M119" s="1"/>
      <c r="N119" s="1"/>
      <c r="O119" s="1"/>
      <c r="P119" s="1"/>
      <c r="Q119" s="1"/>
      <c r="R119" s="1"/>
      <c r="S119" s="1"/>
      <c r="T119" s="1"/>
      <c r="U119" s="1"/>
      <c r="V119" s="8"/>
    </row>
    <row r="120" spans="2:22" ht="26.25" customHeight="1" x14ac:dyDescent="0.35">
      <c r="B120" s="225">
        <v>40179</v>
      </c>
      <c r="C120" s="225">
        <v>40268</v>
      </c>
      <c r="D120" s="226"/>
      <c r="E120" s="213">
        <f t="shared" si="11"/>
        <v>3</v>
      </c>
      <c r="F120" s="227"/>
      <c r="G120" s="227"/>
      <c r="H120" s="455">
        <v>22840</v>
      </c>
      <c r="I120" s="456"/>
      <c r="J120" s="1"/>
      <c r="K120" s="1"/>
      <c r="L120" s="8"/>
      <c r="M120" s="1"/>
      <c r="N120" s="1"/>
      <c r="O120" s="1"/>
      <c r="P120" s="1"/>
      <c r="Q120" s="1"/>
      <c r="R120" s="1"/>
      <c r="S120" s="1"/>
      <c r="T120" s="1"/>
      <c r="U120" s="1"/>
      <c r="V120" s="8"/>
    </row>
    <row r="121" spans="2:22" ht="26.25" customHeight="1" x14ac:dyDescent="0.35">
      <c r="B121" s="225">
        <v>40269</v>
      </c>
      <c r="C121" s="225">
        <v>40451</v>
      </c>
      <c r="D121" s="226"/>
      <c r="E121" s="213">
        <f t="shared" si="11"/>
        <v>6</v>
      </c>
      <c r="F121" s="227"/>
      <c r="G121" s="227"/>
      <c r="H121" s="455">
        <v>23180</v>
      </c>
      <c r="I121" s="456"/>
      <c r="J121" s="1"/>
      <c r="K121" s="1"/>
      <c r="L121" s="8"/>
      <c r="M121" s="1"/>
      <c r="N121" s="1"/>
      <c r="O121" s="1"/>
      <c r="P121" s="1"/>
      <c r="Q121" s="1"/>
      <c r="R121" s="1"/>
      <c r="S121" s="1"/>
      <c r="T121" s="1"/>
      <c r="U121" s="1"/>
      <c r="V121" s="8"/>
    </row>
    <row r="122" spans="2:22" ht="26.25" customHeight="1" x14ac:dyDescent="0.35">
      <c r="B122" s="225">
        <v>40452</v>
      </c>
      <c r="C122" s="225">
        <v>40633</v>
      </c>
      <c r="D122" s="226"/>
      <c r="E122" s="213">
        <f t="shared" si="11"/>
        <v>6</v>
      </c>
      <c r="F122" s="227"/>
      <c r="G122" s="227"/>
      <c r="H122" s="455"/>
      <c r="I122" s="456"/>
      <c r="J122" s="1"/>
      <c r="K122" s="1"/>
      <c r="L122" s="8"/>
      <c r="M122" s="1"/>
      <c r="N122" s="1"/>
      <c r="O122" s="1"/>
      <c r="P122" s="1"/>
      <c r="Q122" s="1"/>
      <c r="R122" s="1"/>
      <c r="S122" s="1"/>
      <c r="T122" s="1"/>
      <c r="U122" s="1"/>
      <c r="V122" s="8"/>
    </row>
    <row r="123" spans="2:22" ht="26.25" customHeight="1" x14ac:dyDescent="0.35">
      <c r="B123" s="225">
        <v>40634</v>
      </c>
      <c r="C123" s="225">
        <v>40816</v>
      </c>
      <c r="D123" s="226"/>
      <c r="E123" s="213">
        <f t="shared" si="11"/>
        <v>6</v>
      </c>
      <c r="F123" s="227"/>
      <c r="G123" s="227"/>
      <c r="H123" s="455"/>
      <c r="I123" s="456"/>
      <c r="J123" s="1"/>
      <c r="K123" s="1"/>
      <c r="L123" s="8"/>
      <c r="M123" s="1"/>
      <c r="N123" s="1"/>
      <c r="O123" s="1"/>
      <c r="P123" s="1"/>
      <c r="Q123" s="1"/>
      <c r="R123" s="1"/>
      <c r="S123" s="1"/>
      <c r="T123" s="1"/>
      <c r="U123" s="1"/>
      <c r="V123" s="8"/>
    </row>
    <row r="124" spans="2:22" ht="26.25" customHeight="1" x14ac:dyDescent="0.35">
      <c r="B124" s="225">
        <v>40817</v>
      </c>
      <c r="C124" s="225">
        <v>40999</v>
      </c>
      <c r="D124" s="226"/>
      <c r="E124" s="213">
        <f t="shared" si="11"/>
        <v>6</v>
      </c>
      <c r="F124" s="227"/>
      <c r="G124" s="227"/>
      <c r="H124" s="455"/>
      <c r="I124" s="456"/>
      <c r="J124" s="1"/>
      <c r="K124" s="1"/>
      <c r="L124" s="8"/>
      <c r="M124" s="1"/>
      <c r="N124" s="1"/>
      <c r="O124" s="1"/>
      <c r="P124" s="1"/>
      <c r="Q124" s="1"/>
      <c r="R124" s="1"/>
      <c r="S124" s="1"/>
      <c r="T124" s="1"/>
      <c r="U124" s="1"/>
      <c r="V124" s="8"/>
    </row>
    <row r="125" spans="2:22" ht="26.25" customHeight="1" x14ac:dyDescent="0.35">
      <c r="B125" s="225">
        <v>41000</v>
      </c>
      <c r="C125" s="225">
        <v>41182</v>
      </c>
      <c r="D125" s="226"/>
      <c r="E125" s="213">
        <f t="shared" si="11"/>
        <v>6</v>
      </c>
      <c r="F125" s="227"/>
      <c r="G125" s="227"/>
      <c r="H125" s="455"/>
      <c r="I125" s="456"/>
      <c r="J125" s="1"/>
      <c r="K125" s="1"/>
      <c r="L125" s="8"/>
      <c r="M125" s="1"/>
      <c r="N125" s="1"/>
      <c r="O125" s="1"/>
      <c r="P125" s="1"/>
      <c r="Q125" s="1"/>
      <c r="R125" s="1"/>
      <c r="S125" s="1"/>
      <c r="T125" s="1"/>
      <c r="U125" s="1"/>
      <c r="V125" s="8"/>
    </row>
    <row r="126" spans="2:22" ht="26.25" customHeight="1" x14ac:dyDescent="0.35">
      <c r="B126" s="225">
        <v>41183</v>
      </c>
      <c r="C126" s="225">
        <v>41364</v>
      </c>
      <c r="D126" s="226"/>
      <c r="E126" s="213">
        <f t="shared" si="11"/>
        <v>6</v>
      </c>
      <c r="F126" s="227"/>
      <c r="G126" s="227"/>
      <c r="H126" s="455"/>
      <c r="I126" s="456"/>
      <c r="J126" s="1"/>
      <c r="K126" s="1"/>
      <c r="L126" s="8"/>
      <c r="M126" s="1"/>
      <c r="N126" s="1"/>
      <c r="O126" s="1"/>
      <c r="P126" s="1"/>
      <c r="Q126" s="1"/>
      <c r="R126" s="1"/>
      <c r="S126" s="1"/>
      <c r="T126" s="1"/>
      <c r="U126" s="1"/>
      <c r="V126" s="8"/>
    </row>
    <row r="127" spans="2:22" ht="26.25" customHeight="1" x14ac:dyDescent="0.35">
      <c r="B127" s="225">
        <v>41365</v>
      </c>
      <c r="C127" s="225">
        <v>41394</v>
      </c>
      <c r="D127" s="226"/>
      <c r="E127" s="213">
        <f t="shared" si="11"/>
        <v>1</v>
      </c>
      <c r="F127" s="227"/>
      <c r="G127" s="227"/>
      <c r="H127" s="455"/>
      <c r="I127" s="456"/>
      <c r="J127" s="1"/>
      <c r="K127" s="1"/>
      <c r="L127" s="8"/>
      <c r="M127" s="1"/>
      <c r="N127" s="1"/>
      <c r="O127" s="1"/>
      <c r="P127" s="1"/>
      <c r="Q127" s="1"/>
      <c r="R127" s="1"/>
      <c r="S127" s="1"/>
      <c r="T127" s="1"/>
      <c r="U127" s="1"/>
      <c r="V127" s="8"/>
    </row>
    <row r="128" spans="2:22" ht="22.5" customHeight="1" x14ac:dyDescent="0.2">
      <c r="B128" s="221"/>
      <c r="C128" s="222" t="s">
        <v>68</v>
      </c>
      <c r="D128" s="223"/>
      <c r="E128" s="224">
        <f>SUM(E116:E127)</f>
        <v>60</v>
      </c>
      <c r="F128" s="221"/>
      <c r="G128" s="221"/>
      <c r="H128" s="221"/>
      <c r="I128" s="221"/>
      <c r="J128" s="1"/>
      <c r="K128" s="1"/>
      <c r="L128" s="8"/>
      <c r="M128" s="1"/>
      <c r="N128" s="1"/>
      <c r="O128" s="1"/>
      <c r="P128" s="1"/>
      <c r="Q128" s="1"/>
      <c r="R128" s="1"/>
      <c r="S128" s="1"/>
      <c r="T128" s="1"/>
      <c r="U128" s="1"/>
      <c r="V128" s="8"/>
    </row>
    <row r="129" spans="2:22" ht="20.2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8"/>
      <c r="M129" s="1"/>
      <c r="N129" s="1"/>
      <c r="O129" s="1"/>
      <c r="P129" s="1"/>
      <c r="Q129" s="1"/>
      <c r="R129" s="1"/>
      <c r="S129" s="1"/>
      <c r="T129" s="1"/>
      <c r="U129" s="1"/>
      <c r="V129" s="8"/>
    </row>
    <row r="130" spans="2:22" ht="30.75" customHeight="1" x14ac:dyDescent="0.65">
      <c r="B130" s="276" t="s">
        <v>175</v>
      </c>
      <c r="C130" s="356"/>
      <c r="D130" s="1"/>
      <c r="E130" s="1"/>
      <c r="F130" s="1"/>
      <c r="G130" s="1"/>
      <c r="H130" s="1"/>
      <c r="I130" s="1"/>
      <c r="J130" s="1"/>
      <c r="K130" s="1"/>
      <c r="L130" s="8"/>
      <c r="M130" s="1"/>
      <c r="N130" s="1"/>
      <c r="O130" s="1"/>
      <c r="P130" s="1"/>
      <c r="Q130" s="1"/>
      <c r="R130" s="1"/>
      <c r="S130" s="1"/>
      <c r="T130" s="1"/>
      <c r="U130" s="1"/>
      <c r="V130" s="8"/>
    </row>
    <row r="131" spans="2:22" ht="30.75" customHeight="1" x14ac:dyDescent="0.65">
      <c r="B131" s="276" t="s">
        <v>177</v>
      </c>
      <c r="C131" s="356"/>
      <c r="D131" s="1"/>
      <c r="E131" s="1"/>
      <c r="F131" s="1"/>
      <c r="G131" s="1"/>
      <c r="H131" s="1"/>
      <c r="I131" s="1"/>
      <c r="J131" s="1"/>
      <c r="K131" s="1"/>
      <c r="L131" s="8"/>
      <c r="M131" s="1"/>
      <c r="N131" s="1"/>
      <c r="O131" s="1"/>
      <c r="P131" s="1"/>
      <c r="Q131" s="1"/>
      <c r="R131" s="1"/>
      <c r="S131" s="1"/>
      <c r="T131" s="1"/>
      <c r="U131" s="1"/>
      <c r="V131" s="8"/>
    </row>
    <row r="132" spans="2:22" ht="30.75" customHeight="1" x14ac:dyDescent="0.65">
      <c r="B132" s="276" t="s">
        <v>181</v>
      </c>
      <c r="C132" s="356"/>
      <c r="D132" s="1"/>
      <c r="E132" s="1"/>
      <c r="F132" s="1"/>
      <c r="G132" s="1"/>
      <c r="H132" s="1"/>
      <c r="I132" s="1"/>
      <c r="J132" s="1"/>
      <c r="K132" s="1"/>
      <c r="L132" s="8"/>
      <c r="M132" s="1"/>
      <c r="N132" s="1"/>
      <c r="O132" s="1"/>
      <c r="P132" s="1"/>
      <c r="Q132" s="1"/>
      <c r="R132" s="1"/>
      <c r="S132" s="1"/>
      <c r="T132" s="1"/>
      <c r="U132" s="1"/>
      <c r="V132" s="8"/>
    </row>
    <row r="133" spans="2:22" ht="30.75" customHeight="1" x14ac:dyDescent="0.65">
      <c r="B133" s="276" t="s">
        <v>191</v>
      </c>
      <c r="C133" s="356"/>
      <c r="D133" s="1"/>
      <c r="E133" s="1"/>
      <c r="F133" s="1"/>
      <c r="G133" s="1"/>
      <c r="H133" s="1"/>
      <c r="I133" s="1"/>
      <c r="J133" s="1"/>
      <c r="K133" s="1"/>
      <c r="L133" s="8"/>
      <c r="M133" s="1"/>
      <c r="N133" s="1"/>
      <c r="O133" s="1"/>
      <c r="P133" s="1"/>
      <c r="Q133" s="1"/>
      <c r="R133" s="1"/>
      <c r="S133" s="1"/>
      <c r="T133" s="1"/>
      <c r="U133" s="1"/>
      <c r="V133" s="8"/>
    </row>
    <row r="134" spans="2:22" ht="30.75" customHeight="1" x14ac:dyDescent="0.65">
      <c r="B134" s="357" t="s">
        <v>176</v>
      </c>
      <c r="C134" s="276" t="s">
        <v>189</v>
      </c>
      <c r="D134" s="1"/>
      <c r="E134" s="1"/>
      <c r="F134" s="1"/>
      <c r="G134" s="1"/>
      <c r="H134" s="1"/>
      <c r="I134" s="1"/>
      <c r="J134" s="1"/>
      <c r="K134" s="1"/>
      <c r="L134" s="8"/>
      <c r="M134" s="1"/>
      <c r="N134" s="1"/>
      <c r="O134" s="1"/>
      <c r="P134" s="1"/>
      <c r="Q134" s="1"/>
      <c r="R134" s="1"/>
      <c r="S134" s="1"/>
      <c r="T134" s="1"/>
      <c r="U134" s="1"/>
      <c r="V134" s="8"/>
    </row>
    <row r="135" spans="2:22" ht="30.75" customHeight="1" x14ac:dyDescent="0.65">
      <c r="B135" s="357" t="s">
        <v>176</v>
      </c>
      <c r="C135" s="276" t="s">
        <v>190</v>
      </c>
      <c r="D135" s="1"/>
      <c r="E135" s="1"/>
      <c r="F135" s="1"/>
      <c r="G135" s="1"/>
      <c r="H135" s="1"/>
      <c r="I135" s="1"/>
      <c r="J135" s="1"/>
      <c r="K135" s="1"/>
      <c r="L135" s="8"/>
      <c r="M135" s="1"/>
      <c r="N135" s="1"/>
      <c r="O135" s="1"/>
      <c r="P135" s="1"/>
      <c r="Q135" s="1"/>
      <c r="R135" s="1"/>
      <c r="S135" s="1"/>
      <c r="T135" s="1"/>
      <c r="U135" s="1"/>
      <c r="V135" s="8"/>
    </row>
    <row r="136" spans="2:22" ht="30.75" customHeight="1" x14ac:dyDescent="0.65">
      <c r="B136" s="357" t="s">
        <v>176</v>
      </c>
      <c r="C136" s="276" t="s">
        <v>179</v>
      </c>
      <c r="D136" s="1"/>
      <c r="E136" s="1"/>
      <c r="F136" s="1"/>
      <c r="G136" s="1"/>
      <c r="H136" s="1"/>
      <c r="I136" s="1"/>
      <c r="J136" s="1"/>
      <c r="K136" s="1"/>
      <c r="L136" s="8"/>
      <c r="M136" s="1"/>
      <c r="N136" s="1"/>
      <c r="O136" s="1"/>
      <c r="P136" s="1"/>
      <c r="Q136" s="1"/>
      <c r="R136" s="1"/>
      <c r="S136" s="1"/>
      <c r="T136" s="1"/>
      <c r="U136" s="1"/>
      <c r="V136" s="8"/>
    </row>
    <row r="137" spans="2:22" ht="30.75" customHeight="1" x14ac:dyDescent="0.65">
      <c r="B137" s="285" t="s">
        <v>180</v>
      </c>
      <c r="C137" s="276"/>
      <c r="D137" s="1"/>
      <c r="E137" s="1"/>
      <c r="F137" s="1"/>
      <c r="G137" s="1"/>
      <c r="H137" s="1"/>
      <c r="I137" s="1"/>
      <c r="J137" s="1"/>
      <c r="K137" s="1"/>
      <c r="L137" s="8"/>
      <c r="M137" s="1"/>
      <c r="N137" s="1"/>
      <c r="O137" s="1"/>
      <c r="P137" s="1"/>
      <c r="Q137" s="1"/>
      <c r="R137" s="1"/>
      <c r="S137" s="1"/>
      <c r="T137" s="1"/>
      <c r="U137" s="1"/>
      <c r="V137" s="8"/>
    </row>
    <row r="138" spans="2:22" ht="30.75" customHeight="1" x14ac:dyDescent="0.65">
      <c r="B138" s="285" t="s">
        <v>77</v>
      </c>
      <c r="C138" s="276"/>
      <c r="D138" s="1"/>
      <c r="E138" s="1"/>
      <c r="F138" s="1"/>
      <c r="G138" s="1"/>
      <c r="H138" s="1"/>
      <c r="I138" s="1"/>
      <c r="J138" s="1"/>
      <c r="K138" s="1"/>
      <c r="L138" s="8"/>
      <c r="M138" s="1"/>
      <c r="N138" s="1"/>
      <c r="O138" s="1"/>
      <c r="P138" s="1"/>
      <c r="Q138" s="1"/>
      <c r="R138" s="1"/>
      <c r="S138" s="1"/>
      <c r="T138" s="1"/>
      <c r="U138" s="1"/>
      <c r="V138" s="8"/>
    </row>
    <row r="139" spans="2:22" ht="30.75" customHeight="1" x14ac:dyDescent="0.65">
      <c r="B139" s="276" t="s">
        <v>192</v>
      </c>
      <c r="C139" s="1"/>
      <c r="D139" s="1"/>
      <c r="E139" s="1"/>
      <c r="F139" s="1"/>
      <c r="G139" s="1"/>
      <c r="H139" s="1"/>
      <c r="I139" s="1"/>
      <c r="J139" s="1"/>
      <c r="K139" s="1"/>
      <c r="L139" s="8"/>
      <c r="M139" s="1"/>
      <c r="N139" s="1"/>
      <c r="O139" s="1"/>
      <c r="P139" s="1"/>
      <c r="Q139" s="1"/>
      <c r="R139" s="1"/>
      <c r="S139" s="1"/>
      <c r="T139" s="1"/>
      <c r="U139" s="1"/>
      <c r="V139" s="8"/>
    </row>
    <row r="140" spans="2:22" ht="29.25" customHeight="1" x14ac:dyDescent="0.65">
      <c r="B140" s="276" t="s">
        <v>99</v>
      </c>
      <c r="C140" s="1"/>
      <c r="D140" s="1"/>
      <c r="E140" s="1"/>
      <c r="F140" s="1"/>
      <c r="G140" s="1"/>
      <c r="H140" s="1"/>
      <c r="I140" s="1"/>
      <c r="J140" s="1"/>
      <c r="K140" s="1"/>
      <c r="L140" s="8"/>
      <c r="M140" s="1"/>
      <c r="N140" s="1"/>
      <c r="O140" s="1"/>
      <c r="P140" s="1"/>
      <c r="Q140" s="1"/>
      <c r="R140" s="1"/>
      <c r="S140" s="1"/>
      <c r="T140" s="1"/>
      <c r="U140" s="1"/>
      <c r="V140" s="8"/>
    </row>
    <row r="141" spans="2:22" ht="34.5" customHeight="1" x14ac:dyDescent="0.65">
      <c r="B141" s="276" t="s">
        <v>79</v>
      </c>
      <c r="C141" s="1"/>
      <c r="D141" s="1"/>
      <c r="E141" s="1"/>
      <c r="F141" s="1"/>
      <c r="G141" s="1"/>
      <c r="H141" s="1"/>
      <c r="I141" s="1"/>
      <c r="J141" s="1"/>
      <c r="K141" s="1"/>
      <c r="L141" s="8"/>
      <c r="M141" s="1"/>
      <c r="N141" s="1"/>
      <c r="O141" s="1"/>
      <c r="P141" s="1"/>
      <c r="Q141" s="1"/>
      <c r="R141" s="1"/>
      <c r="S141" s="1"/>
      <c r="T141" s="1"/>
      <c r="U141" s="1"/>
      <c r="V141" s="8"/>
    </row>
    <row r="142" spans="2:22" ht="34.5" customHeight="1" x14ac:dyDescent="0.65">
      <c r="B142" s="276" t="s">
        <v>80</v>
      </c>
      <c r="C142" s="1"/>
      <c r="D142" s="1"/>
      <c r="E142" s="1"/>
      <c r="F142" s="1"/>
      <c r="G142" s="1"/>
      <c r="H142" s="1"/>
      <c r="I142" s="1"/>
      <c r="J142" s="1"/>
      <c r="K142" s="1"/>
      <c r="L142" s="8"/>
      <c r="M142" s="1"/>
      <c r="N142" s="1"/>
      <c r="O142" s="1"/>
      <c r="P142" s="1"/>
      <c r="Q142" s="1"/>
      <c r="R142" s="1"/>
      <c r="S142" s="1"/>
      <c r="T142" s="1"/>
      <c r="U142" s="1"/>
      <c r="V142" s="8"/>
    </row>
    <row r="143" spans="2:22" ht="34.5" customHeight="1" x14ac:dyDescent="0.65">
      <c r="B143" s="276" t="s">
        <v>81</v>
      </c>
      <c r="C143" s="1"/>
      <c r="D143" s="1"/>
      <c r="E143" s="1"/>
      <c r="F143" s="1"/>
      <c r="G143" s="1"/>
      <c r="H143" s="1"/>
      <c r="I143" s="1"/>
      <c r="J143" s="1"/>
      <c r="K143" s="1"/>
      <c r="L143" s="8"/>
      <c r="M143" s="1"/>
      <c r="N143" s="1"/>
      <c r="O143" s="1"/>
      <c r="P143" s="1"/>
      <c r="Q143" s="1"/>
      <c r="R143" s="1"/>
      <c r="S143" s="1"/>
      <c r="T143" s="1"/>
      <c r="U143" s="1"/>
      <c r="V143" s="8"/>
    </row>
    <row r="144" spans="2:22" ht="34.5" customHeight="1" x14ac:dyDescent="0.2">
      <c r="B144" s="232"/>
      <c r="C144" s="1"/>
      <c r="D144" s="1"/>
      <c r="E144" s="1"/>
      <c r="F144" s="1"/>
      <c r="G144" s="1"/>
      <c r="H144" s="1"/>
      <c r="I144" s="1"/>
      <c r="J144" s="1"/>
      <c r="K144" s="1"/>
      <c r="L144" s="8"/>
      <c r="M144" s="1"/>
      <c r="N144" s="1"/>
      <c r="O144" s="1"/>
      <c r="P144" s="1"/>
      <c r="Q144" s="1"/>
      <c r="R144" s="1"/>
      <c r="S144" s="1"/>
      <c r="T144" s="1"/>
      <c r="U144" s="1"/>
      <c r="V144" s="8"/>
    </row>
    <row r="145" spans="2:22" ht="20.25" customHeight="1" x14ac:dyDescent="0.2">
      <c r="B145" s="232"/>
      <c r="C145" s="1"/>
      <c r="D145" s="1"/>
      <c r="E145" s="1"/>
      <c r="F145" s="1"/>
      <c r="G145" s="1"/>
      <c r="H145" s="1"/>
      <c r="I145" s="1"/>
      <c r="J145" s="1"/>
      <c r="K145" s="1"/>
      <c r="L145" s="8"/>
      <c r="M145" s="1"/>
      <c r="N145" s="1"/>
      <c r="O145" s="1"/>
      <c r="P145" s="1"/>
      <c r="Q145" s="1"/>
      <c r="R145" s="1"/>
      <c r="S145" s="1"/>
      <c r="T145" s="1"/>
      <c r="U145" s="1"/>
      <c r="V145" s="8"/>
    </row>
    <row r="146" spans="2:22" ht="20.2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8"/>
      <c r="M146" s="1"/>
      <c r="N146" s="1"/>
      <c r="O146" s="1"/>
      <c r="P146" s="1"/>
      <c r="Q146" s="1"/>
      <c r="R146" s="1"/>
      <c r="S146" s="1"/>
      <c r="T146" s="1"/>
      <c r="U146" s="1"/>
      <c r="V146" s="8"/>
    </row>
    <row r="147" spans="2:22" ht="20.2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8"/>
      <c r="M147" s="1"/>
      <c r="N147" s="1"/>
      <c r="O147" s="1"/>
      <c r="P147" s="1"/>
      <c r="Q147" s="1"/>
      <c r="R147" s="1"/>
      <c r="S147" s="1"/>
      <c r="T147" s="1"/>
      <c r="U147" s="1"/>
      <c r="V147" s="8"/>
    </row>
    <row r="148" spans="2:22" ht="20.2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8"/>
      <c r="M148" s="1"/>
      <c r="N148" s="1"/>
      <c r="O148" s="1"/>
      <c r="P148" s="1"/>
      <c r="Q148" s="1"/>
      <c r="R148" s="1"/>
      <c r="S148" s="1"/>
      <c r="T148" s="1"/>
      <c r="U148" s="1"/>
      <c r="V148" s="8"/>
    </row>
    <row r="149" spans="2:22" ht="20.2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8"/>
      <c r="M149" s="1"/>
      <c r="N149" s="1"/>
      <c r="O149" s="1"/>
      <c r="P149" s="1"/>
      <c r="Q149" s="1"/>
      <c r="R149" s="1"/>
      <c r="S149" s="1"/>
      <c r="T149" s="1"/>
      <c r="U149" s="1"/>
      <c r="V149" s="8"/>
    </row>
    <row r="150" spans="2:22" ht="20.2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8"/>
      <c r="M150" s="1"/>
      <c r="N150" s="1"/>
      <c r="O150" s="1"/>
      <c r="P150" s="1"/>
      <c r="Q150" s="1"/>
      <c r="R150" s="1"/>
      <c r="S150" s="1"/>
      <c r="T150" s="1"/>
      <c r="U150" s="1"/>
      <c r="V150" s="8"/>
    </row>
    <row r="151" spans="2:22" ht="20.2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8"/>
      <c r="M151" s="1"/>
      <c r="N151" s="1"/>
      <c r="O151" s="1"/>
      <c r="P151" s="1"/>
      <c r="Q151" s="1"/>
      <c r="R151" s="1"/>
      <c r="S151" s="1"/>
      <c r="T151" s="1"/>
      <c r="U151" s="1"/>
      <c r="V151" s="8"/>
    </row>
    <row r="152" spans="2:22" ht="20.2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8"/>
      <c r="M152" s="1"/>
      <c r="N152" s="1"/>
      <c r="O152" s="1"/>
      <c r="P152" s="1"/>
      <c r="Q152" s="1"/>
      <c r="R152" s="1"/>
      <c r="S152" s="1"/>
      <c r="T152" s="1"/>
      <c r="U152" s="1"/>
      <c r="V152" s="8"/>
    </row>
    <row r="153" spans="2:22" ht="20.2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8"/>
      <c r="M153" s="1"/>
      <c r="N153" s="1"/>
      <c r="O153" s="1"/>
      <c r="P153" s="1"/>
      <c r="Q153" s="1"/>
      <c r="R153" s="1"/>
      <c r="S153" s="1"/>
      <c r="T153" s="1"/>
      <c r="U153" s="1"/>
      <c r="V153" s="8"/>
    </row>
    <row r="154" spans="2:22" ht="20.2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8"/>
      <c r="M154" s="1"/>
      <c r="N154" s="1"/>
      <c r="O154" s="1"/>
      <c r="P154" s="1"/>
      <c r="Q154" s="1"/>
      <c r="R154" s="1"/>
      <c r="S154" s="1"/>
      <c r="T154" s="1"/>
      <c r="U154" s="1"/>
      <c r="V154" s="8"/>
    </row>
    <row r="155" spans="2:22" ht="20.2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8"/>
      <c r="M155" s="1"/>
      <c r="N155" s="1"/>
      <c r="O155" s="1"/>
      <c r="P155" s="1"/>
      <c r="Q155" s="1"/>
      <c r="R155" s="1"/>
      <c r="S155" s="1"/>
      <c r="T155" s="1"/>
      <c r="U155" s="1"/>
      <c r="V155" s="8"/>
    </row>
    <row r="156" spans="2:22" ht="20.2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8"/>
      <c r="M156" s="1"/>
      <c r="N156" s="1"/>
      <c r="O156" s="1"/>
      <c r="P156" s="1"/>
      <c r="Q156" s="1"/>
      <c r="R156" s="1"/>
      <c r="S156" s="1"/>
      <c r="T156" s="1"/>
      <c r="U156" s="1"/>
      <c r="V156" s="8"/>
    </row>
    <row r="157" spans="2:22" ht="20.2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1"/>
      <c r="N157" s="1"/>
      <c r="O157" s="1"/>
      <c r="P157" s="1"/>
      <c r="Q157" s="1"/>
      <c r="R157" s="1"/>
      <c r="S157" s="1"/>
      <c r="T157" s="1"/>
      <c r="U157" s="1"/>
      <c r="V157" s="8"/>
    </row>
    <row r="158" spans="2:22" ht="20.2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1"/>
      <c r="N158" s="1"/>
      <c r="O158" s="1"/>
      <c r="P158" s="1"/>
      <c r="Q158" s="1"/>
      <c r="R158" s="1"/>
      <c r="S158" s="1"/>
      <c r="T158" s="1"/>
      <c r="U158" s="1"/>
      <c r="V158" s="8"/>
    </row>
    <row r="159" spans="2:22" ht="20.2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1"/>
      <c r="N159" s="1"/>
      <c r="O159" s="1"/>
      <c r="P159" s="1"/>
      <c r="Q159" s="1"/>
      <c r="R159" s="1"/>
      <c r="S159" s="1"/>
      <c r="T159" s="1"/>
      <c r="U159" s="1"/>
      <c r="V159" s="8"/>
    </row>
    <row r="160" spans="2:22" ht="20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1"/>
      <c r="N160" s="1"/>
      <c r="O160" s="1"/>
      <c r="P160" s="1"/>
      <c r="Q160" s="1"/>
      <c r="R160" s="1"/>
      <c r="S160" s="1"/>
      <c r="T160" s="1"/>
      <c r="U160" s="1"/>
      <c r="V160" s="8"/>
    </row>
    <row r="161" spans="2:22" ht="20.2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1"/>
      <c r="N161" s="1"/>
      <c r="O161" s="1"/>
      <c r="P161" s="1"/>
      <c r="Q161" s="1"/>
      <c r="R161" s="1"/>
      <c r="S161" s="1"/>
      <c r="T161" s="1"/>
      <c r="U161" s="1"/>
      <c r="V161" s="8"/>
    </row>
    <row r="162" spans="2:22" ht="20.2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1"/>
      <c r="N162" s="1"/>
      <c r="O162" s="1"/>
      <c r="P162" s="1"/>
      <c r="Q162" s="1"/>
      <c r="R162" s="1"/>
      <c r="S162" s="1"/>
      <c r="T162" s="1"/>
      <c r="U162" s="1"/>
      <c r="V162" s="8"/>
    </row>
  </sheetData>
  <sheetProtection password="DCD1" sheet="1" objects="1" scenarios="1" selectLockedCells="1"/>
  <mergeCells count="108">
    <mergeCell ref="B7:C7"/>
    <mergeCell ref="I7:J7"/>
    <mergeCell ref="L7:M7"/>
    <mergeCell ref="B8:C8"/>
    <mergeCell ref="I8:J8"/>
    <mergeCell ref="L8:M8"/>
    <mergeCell ref="B1:V1"/>
    <mergeCell ref="B2:V2"/>
    <mergeCell ref="B3:Q3"/>
    <mergeCell ref="B4:Q4"/>
    <mergeCell ref="B5:C5"/>
    <mergeCell ref="I5:Q6"/>
    <mergeCell ref="B6:C6"/>
    <mergeCell ref="B11:C11"/>
    <mergeCell ref="I11:J11"/>
    <mergeCell ref="L11:M11"/>
    <mergeCell ref="B12:C12"/>
    <mergeCell ref="I12:J12"/>
    <mergeCell ref="L12:M12"/>
    <mergeCell ref="B9:C9"/>
    <mergeCell ref="I9:J9"/>
    <mergeCell ref="L9:M9"/>
    <mergeCell ref="B10:C10"/>
    <mergeCell ref="I10:J10"/>
    <mergeCell ref="L10:M10"/>
    <mergeCell ref="I16:J16"/>
    <mergeCell ref="L16:M16"/>
    <mergeCell ref="H23:I23"/>
    <mergeCell ref="L23:M23"/>
    <mergeCell ref="H24:I24"/>
    <mergeCell ref="L24:M24"/>
    <mergeCell ref="I13:J13"/>
    <mergeCell ref="L13:M13"/>
    <mergeCell ref="I14:J14"/>
    <mergeCell ref="L14:M14"/>
    <mergeCell ref="I15:J15"/>
    <mergeCell ref="L15:M15"/>
    <mergeCell ref="H28:I28"/>
    <mergeCell ref="L28:M28"/>
    <mergeCell ref="H29:I29"/>
    <mergeCell ref="L29:M29"/>
    <mergeCell ref="H30:I30"/>
    <mergeCell ref="L30:M30"/>
    <mergeCell ref="H25:I25"/>
    <mergeCell ref="L25:M25"/>
    <mergeCell ref="H26:I26"/>
    <mergeCell ref="L26:M26"/>
    <mergeCell ref="H27:I27"/>
    <mergeCell ref="L27:M27"/>
    <mergeCell ref="H34:I34"/>
    <mergeCell ref="L34:M34"/>
    <mergeCell ref="H35:I35"/>
    <mergeCell ref="L35:M35"/>
    <mergeCell ref="H36:I36"/>
    <mergeCell ref="L36:M36"/>
    <mergeCell ref="H31:I31"/>
    <mergeCell ref="L31:M31"/>
    <mergeCell ref="H32:I32"/>
    <mergeCell ref="L32:M32"/>
    <mergeCell ref="H33:I33"/>
    <mergeCell ref="L33:M33"/>
    <mergeCell ref="H70:I70"/>
    <mergeCell ref="H71:I71"/>
    <mergeCell ref="H72:I72"/>
    <mergeCell ref="H73:I73"/>
    <mergeCell ref="H78:I78"/>
    <mergeCell ref="H79:I79"/>
    <mergeCell ref="B37:C37"/>
    <mergeCell ref="E38:M38"/>
    <mergeCell ref="B56:L56"/>
    <mergeCell ref="B59:Q59"/>
    <mergeCell ref="H68:I68"/>
    <mergeCell ref="H69:I69"/>
    <mergeCell ref="H86:I86"/>
    <mergeCell ref="H87:I87"/>
    <mergeCell ref="H88:I88"/>
    <mergeCell ref="H89:I89"/>
    <mergeCell ref="H96:I96"/>
    <mergeCell ref="H97:I97"/>
    <mergeCell ref="H80:I80"/>
    <mergeCell ref="H81:I81"/>
    <mergeCell ref="H82:I82"/>
    <mergeCell ref="H83:I83"/>
    <mergeCell ref="H84:I84"/>
    <mergeCell ref="H85:I85"/>
    <mergeCell ref="H104:I104"/>
    <mergeCell ref="H105:I105"/>
    <mergeCell ref="H106:I106"/>
    <mergeCell ref="H107:I107"/>
    <mergeCell ref="H115:I115"/>
    <mergeCell ref="H116:I116"/>
    <mergeCell ref="H98:I98"/>
    <mergeCell ref="H99:I99"/>
    <mergeCell ref="H100:I100"/>
    <mergeCell ref="H101:I101"/>
    <mergeCell ref="H102:I102"/>
    <mergeCell ref="H103:I103"/>
    <mergeCell ref="H123:I123"/>
    <mergeCell ref="H124:I124"/>
    <mergeCell ref="H125:I125"/>
    <mergeCell ref="H126:I126"/>
    <mergeCell ref="H127:I127"/>
    <mergeCell ref="H117:I117"/>
    <mergeCell ref="H118:I118"/>
    <mergeCell ref="H119:I119"/>
    <mergeCell ref="H120:I120"/>
    <mergeCell ref="H121:I121"/>
    <mergeCell ref="H122:I122"/>
  </mergeCells>
  <pageMargins left="0.34" right="0.15748031496062992" top="0.31496062992125984" bottom="0.19685039370078741" header="0.15748031496062992" footer="0.15748031496062992"/>
  <pageSetup paperSize="9" scale="72" orientation="portrait" r:id="rId1"/>
  <headerFooter>
    <oddHeader xml:space="preserve">&amp;R&amp;A  / &amp;F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66"/>
  <sheetViews>
    <sheetView topLeftCell="A3" workbookViewId="0">
      <selection activeCell="H36" sqref="H36:I36"/>
    </sheetView>
  </sheetViews>
  <sheetFormatPr defaultRowHeight="20.25" customHeight="1" x14ac:dyDescent="0.2"/>
  <cols>
    <col min="1" max="1" width="2.625" style="233" customWidth="1"/>
    <col min="2" max="2" width="17.75" style="233" customWidth="1"/>
    <col min="3" max="3" width="18.875" style="233" customWidth="1"/>
    <col min="4" max="4" width="3.875" style="233" hidden="1" customWidth="1"/>
    <col min="5" max="5" width="17.375" style="233" customWidth="1"/>
    <col min="6" max="6" width="13.625" style="233" hidden="1" customWidth="1"/>
    <col min="7" max="7" width="10.625" style="233" hidden="1" customWidth="1"/>
    <col min="8" max="8" width="16" style="233" customWidth="1"/>
    <col min="9" max="9" width="2.75" style="233" customWidth="1"/>
    <col min="10" max="10" width="14.625" style="233" customWidth="1"/>
    <col min="11" max="11" width="14" style="233" hidden="1" customWidth="1"/>
    <col min="12" max="12" width="3.75" style="235" customWidth="1"/>
    <col min="13" max="13" width="15.125" style="233" customWidth="1"/>
    <col min="14" max="14" width="14.875" style="233" hidden="1" customWidth="1"/>
    <col min="15" max="16" width="13" style="233" hidden="1" customWidth="1"/>
    <col min="17" max="17" width="17.25" style="233" customWidth="1"/>
    <col min="18" max="18" width="6.875" style="233" hidden="1" customWidth="1"/>
    <col min="19" max="19" width="7.375" style="233" hidden="1" customWidth="1"/>
    <col min="20" max="20" width="6.375" style="233" hidden="1" customWidth="1"/>
    <col min="21" max="21" width="5.875" style="233" hidden="1" customWidth="1"/>
    <col min="22" max="22" width="2.875" style="235" customWidth="1"/>
    <col min="23" max="23" width="17.25" style="233" customWidth="1"/>
    <col min="24" max="27" width="9" style="233"/>
    <col min="28" max="28" width="12.25" style="233" customWidth="1"/>
    <col min="29" max="16384" width="9" style="233"/>
  </cols>
  <sheetData>
    <row r="1" spans="2:22" ht="20.25" customHeight="1" x14ac:dyDescent="0.25">
      <c r="B1" s="482" t="s">
        <v>82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</row>
    <row r="2" spans="2:22" ht="24" customHeight="1" x14ac:dyDescent="0.2">
      <c r="B2" s="483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</row>
    <row r="3" spans="2:22" ht="27" customHeight="1" x14ac:dyDescent="0.2">
      <c r="B3" s="558" t="s">
        <v>84</v>
      </c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  <c r="R3" s="234"/>
      <c r="S3" s="234"/>
      <c r="T3" s="234"/>
    </row>
    <row r="4" spans="2:22" ht="9.75" customHeight="1" x14ac:dyDescent="0.2"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234"/>
      <c r="S4" s="234"/>
      <c r="T4" s="234"/>
    </row>
    <row r="5" spans="2:22" ht="32.25" customHeight="1" x14ac:dyDescent="0.2">
      <c r="B5" s="562" t="s">
        <v>2</v>
      </c>
      <c r="C5" s="563"/>
      <c r="D5" s="382"/>
      <c r="E5" s="5" t="s">
        <v>3</v>
      </c>
      <c r="F5" s="5"/>
      <c r="G5" s="5"/>
      <c r="H5" s="5" t="s">
        <v>4</v>
      </c>
      <c r="I5" s="490" t="s">
        <v>5</v>
      </c>
      <c r="J5" s="491"/>
      <c r="K5" s="491"/>
      <c r="L5" s="491"/>
      <c r="M5" s="491"/>
      <c r="N5" s="491"/>
      <c r="O5" s="491"/>
      <c r="P5" s="491"/>
      <c r="Q5" s="492"/>
      <c r="R5" s="237"/>
      <c r="S5" s="237"/>
      <c r="T5" s="237"/>
    </row>
    <row r="6" spans="2:22" ht="26.25" customHeight="1" x14ac:dyDescent="0.2">
      <c r="B6" s="579"/>
      <c r="C6" s="580"/>
      <c r="D6" s="386"/>
      <c r="E6" s="238"/>
      <c r="F6" s="238"/>
      <c r="G6" s="238"/>
      <c r="H6" s="238"/>
      <c r="I6" s="493"/>
      <c r="J6" s="494"/>
      <c r="K6" s="494"/>
      <c r="L6" s="494"/>
      <c r="M6" s="494"/>
      <c r="N6" s="494"/>
      <c r="O6" s="494"/>
      <c r="P6" s="494"/>
      <c r="Q6" s="495"/>
      <c r="R6" s="239"/>
      <c r="S6" s="239"/>
      <c r="T6" s="239"/>
    </row>
    <row r="7" spans="2:22" ht="26.25" customHeight="1" x14ac:dyDescent="0.2">
      <c r="B7" s="498" t="s">
        <v>5</v>
      </c>
      <c r="C7" s="499"/>
      <c r="D7" s="376"/>
      <c r="E7" s="6" t="s">
        <v>6</v>
      </c>
      <c r="F7" s="6"/>
      <c r="G7" s="6"/>
      <c r="H7" s="6" t="s">
        <v>7</v>
      </c>
      <c r="I7" s="552" t="s">
        <v>8</v>
      </c>
      <c r="J7" s="553"/>
      <c r="K7" s="15"/>
      <c r="L7" s="552" t="s">
        <v>9</v>
      </c>
      <c r="M7" s="553"/>
      <c r="N7" s="15"/>
      <c r="O7" s="15"/>
      <c r="P7" s="15"/>
      <c r="Q7" s="15" t="s">
        <v>10</v>
      </c>
      <c r="R7" s="240"/>
      <c r="S7" s="240"/>
      <c r="T7" s="240"/>
    </row>
    <row r="8" spans="2:22" ht="23.25" customHeight="1" x14ac:dyDescent="0.2">
      <c r="B8" s="500" t="s">
        <v>11</v>
      </c>
      <c r="C8" s="501"/>
      <c r="D8" s="241"/>
      <c r="E8" s="19" t="str">
        <f>IF(E6&gt;0,(E6)," ")</f>
        <v xml:space="preserve"> </v>
      </c>
      <c r="F8" s="242"/>
      <c r="G8" s="242"/>
      <c r="H8" s="243"/>
      <c r="I8" s="554" t="str">
        <f>IF(H8&lt;=0,(""),IF(N8&lt;12,K8,(K8+1)))</f>
        <v/>
      </c>
      <c r="J8" s="555"/>
      <c r="K8" s="24" t="e">
        <f t="shared" ref="K8:K11" si="0">IF(B8&gt;0,DATEDIF(E8,H8,"y"),(0))</f>
        <v>#VALUE!</v>
      </c>
      <c r="L8" s="556" t="str">
        <f>IF(H8&lt;=0,(""),IF((N8=12),0,(N8)))</f>
        <v/>
      </c>
      <c r="M8" s="557"/>
      <c r="N8" s="24" t="e">
        <f>IF(B8&lt;=0,(0),IF(U8&gt;=29,(O8+1),(O8)))</f>
        <v>#VALUE!</v>
      </c>
      <c r="O8" s="24" t="e">
        <f t="shared" ref="O8:O11" si="1">IF(B8&gt;0,DATEDIF(E8,H8,"ym"),(0))</f>
        <v>#VALUE!</v>
      </c>
      <c r="P8" s="24"/>
      <c r="Q8" s="27" t="str">
        <f>IF(H8&lt;=0,(""),IF(T8&lt;(29),(R8+1),(0)))</f>
        <v/>
      </c>
      <c r="R8" s="28" t="e">
        <f>S8</f>
        <v>#VALUE!</v>
      </c>
      <c r="S8" s="29" t="e">
        <f>IF(U8&lt;30,T8,(0))</f>
        <v>#VALUE!</v>
      </c>
      <c r="T8" s="28" t="e">
        <f>U8</f>
        <v>#VALUE!</v>
      </c>
      <c r="U8" s="30" t="e">
        <f>IF(B8&gt;0,DATEDIF(E8,H8,"md"),(0))</f>
        <v>#VALUE!</v>
      </c>
      <c r="V8" s="244"/>
    </row>
    <row r="9" spans="2:22" ht="20.25" customHeight="1" x14ac:dyDescent="0.2">
      <c r="B9" s="502" t="s">
        <v>12</v>
      </c>
      <c r="C9" s="503"/>
      <c r="D9" s="245"/>
      <c r="E9" s="33"/>
      <c r="F9" s="33"/>
      <c r="G9" s="33"/>
      <c r="H9" s="33"/>
      <c r="I9" s="548"/>
      <c r="J9" s="549"/>
      <c r="K9" s="36">
        <f t="shared" si="0"/>
        <v>0</v>
      </c>
      <c r="L9" s="577"/>
      <c r="M9" s="578"/>
      <c r="N9" s="39">
        <f>L9</f>
        <v>0</v>
      </c>
      <c r="O9" s="39">
        <f>L9</f>
        <v>0</v>
      </c>
      <c r="P9" s="39"/>
      <c r="Q9" s="246"/>
      <c r="R9" s="28">
        <f t="shared" ref="R9:R11" si="2">S9</f>
        <v>0</v>
      </c>
      <c r="S9" s="29">
        <f t="shared" ref="S9:S11" si="3">IF(U9&lt;30,T9,(0))</f>
        <v>0</v>
      </c>
      <c r="T9" s="28">
        <f t="shared" ref="T9:T11" si="4">U9</f>
        <v>0</v>
      </c>
      <c r="U9" s="30">
        <f t="shared" ref="U9:U11" si="5">IF(B9&gt;0,DATEDIF(E9,H9,"md"),(0))</f>
        <v>0</v>
      </c>
      <c r="V9" s="244"/>
    </row>
    <row r="10" spans="2:22" ht="21.75" customHeight="1" x14ac:dyDescent="0.2">
      <c r="B10" s="502" t="s">
        <v>13</v>
      </c>
      <c r="C10" s="503"/>
      <c r="D10" s="247"/>
      <c r="E10" s="33"/>
      <c r="F10" s="33"/>
      <c r="G10" s="33"/>
      <c r="H10" s="33"/>
      <c r="I10" s="548"/>
      <c r="J10" s="549"/>
      <c r="K10" s="36">
        <f t="shared" si="0"/>
        <v>0</v>
      </c>
      <c r="L10" s="577"/>
      <c r="M10" s="578"/>
      <c r="N10" s="39">
        <f>L10</f>
        <v>0</v>
      </c>
      <c r="O10" s="39">
        <f>L10</f>
        <v>0</v>
      </c>
      <c r="P10" s="39"/>
      <c r="Q10" s="246"/>
      <c r="R10" s="28">
        <f t="shared" si="2"/>
        <v>0</v>
      </c>
      <c r="S10" s="29">
        <f t="shared" si="3"/>
        <v>0</v>
      </c>
      <c r="T10" s="28">
        <f t="shared" si="4"/>
        <v>0</v>
      </c>
      <c r="U10" s="30">
        <f t="shared" si="5"/>
        <v>0</v>
      </c>
      <c r="V10" s="244"/>
    </row>
    <row r="11" spans="2:22" ht="21.75" customHeight="1" x14ac:dyDescent="0.2">
      <c r="B11" s="504" t="s">
        <v>85</v>
      </c>
      <c r="C11" s="505"/>
      <c r="D11" s="248"/>
      <c r="E11" s="249"/>
      <c r="F11" s="249"/>
      <c r="G11" s="249"/>
      <c r="H11" s="249"/>
      <c r="I11" s="542" t="str">
        <f>IF(H11&lt;=0,(""),IF(N11&lt;12,K11,(K11+1)))</f>
        <v/>
      </c>
      <c r="J11" s="543"/>
      <c r="K11" s="46">
        <f t="shared" si="0"/>
        <v>0</v>
      </c>
      <c r="L11" s="544" t="str">
        <f>IF(H11&lt;=0,(""),IF((N11=12),0,(N11)))</f>
        <v/>
      </c>
      <c r="M11" s="545"/>
      <c r="N11" s="24">
        <f>IF(B11&lt;=0,(0),IF(U11&gt;=29,(O11+1),(O11)))</f>
        <v>0</v>
      </c>
      <c r="O11" s="24">
        <f t="shared" si="1"/>
        <v>0</v>
      </c>
      <c r="P11" s="24"/>
      <c r="Q11" s="27" t="str">
        <f>IF(H11&lt;=0,(""),IF(T11&lt;(29),(R11+1),(0)))</f>
        <v/>
      </c>
      <c r="R11" s="28">
        <f t="shared" si="2"/>
        <v>0</v>
      </c>
      <c r="S11" s="29">
        <f t="shared" si="3"/>
        <v>0</v>
      </c>
      <c r="T11" s="28">
        <f t="shared" si="4"/>
        <v>0</v>
      </c>
      <c r="U11" s="30">
        <f t="shared" si="5"/>
        <v>0</v>
      </c>
      <c r="V11" s="244"/>
    </row>
    <row r="12" spans="2:22" ht="21.75" customHeight="1" x14ac:dyDescent="0.2">
      <c r="B12" s="480" t="s">
        <v>15</v>
      </c>
      <c r="C12" s="481"/>
      <c r="D12" s="250"/>
      <c r="E12" s="50"/>
      <c r="F12" s="50"/>
      <c r="G12" s="50"/>
      <c r="H12" s="50"/>
      <c r="I12" s="575"/>
      <c r="J12" s="576"/>
      <c r="K12" s="53">
        <f>I12</f>
        <v>0</v>
      </c>
      <c r="L12" s="575"/>
      <c r="M12" s="576"/>
      <c r="N12" s="53">
        <f>L12</f>
        <v>0</v>
      </c>
      <c r="O12" s="55">
        <f>L12</f>
        <v>0</v>
      </c>
      <c r="P12" s="52"/>
      <c r="Q12" s="251"/>
      <c r="R12" s="56"/>
      <c r="S12" s="57"/>
      <c r="T12" s="56"/>
      <c r="U12" s="58"/>
      <c r="V12" s="244"/>
    </row>
    <row r="13" spans="2:22" ht="24.75" hidden="1" customHeight="1" x14ac:dyDescent="0.2">
      <c r="B13" s="59"/>
      <c r="C13" s="59"/>
      <c r="D13" s="59"/>
      <c r="E13" s="59"/>
      <c r="F13" s="59"/>
      <c r="G13" s="59"/>
      <c r="H13" s="60" t="s">
        <v>16</v>
      </c>
      <c r="I13" s="538">
        <f>SUM(I8:I12)</f>
        <v>0</v>
      </c>
      <c r="J13" s="539"/>
      <c r="K13" s="65" t="e">
        <f>SUM(K8:K12)</f>
        <v>#VALUE!</v>
      </c>
      <c r="L13" s="538" t="e">
        <f>IF(Q13&gt;=150,(N13+5),IF(Q13&gt;=120,(N13+4),IF(Q13&gt;=90,(N13+3),IF(Q13&gt;=60,(N13+2),IF(Q13&gt;=30,(N13+1),(N13))))))</f>
        <v>#VALUE!</v>
      </c>
      <c r="M13" s="539"/>
      <c r="N13" s="65" t="e">
        <f>SUM(N8:N12)</f>
        <v>#VALUE!</v>
      </c>
      <c r="O13" s="66" t="e">
        <f>SUM(O8:O12)</f>
        <v>#VALUE!</v>
      </c>
      <c r="P13" s="67"/>
      <c r="Q13" s="67">
        <f>SUM(Q8:Q12)</f>
        <v>0</v>
      </c>
      <c r="R13" s="62"/>
      <c r="S13" s="62"/>
      <c r="T13" s="62"/>
      <c r="U13" s="62"/>
      <c r="V13" s="252"/>
    </row>
    <row r="14" spans="2:22" ht="24.75" hidden="1" customHeight="1" x14ac:dyDescent="0.2">
      <c r="B14" s="59"/>
      <c r="C14" s="59"/>
      <c r="D14" s="59"/>
      <c r="E14" s="59"/>
      <c r="F14" s="59"/>
      <c r="G14" s="59"/>
      <c r="H14" s="60" t="s">
        <v>16</v>
      </c>
      <c r="I14" s="538" t="e">
        <f>IF(L13&gt;=12,(I13+1),I13)</f>
        <v>#VALUE!</v>
      </c>
      <c r="J14" s="539"/>
      <c r="K14" s="65" t="e">
        <f>IF(L14&gt;=12,(K13+1),K13)</f>
        <v>#VALUE!</v>
      </c>
      <c r="L14" s="538" t="e">
        <f t="shared" ref="L14:L19" si="6">IF(L13&gt;12,(L13-12),L13)</f>
        <v>#VALUE!</v>
      </c>
      <c r="M14" s="539"/>
      <c r="N14" s="65" t="e">
        <f>IF(O14&lt;=12,O14,(O14-12))</f>
        <v>#VALUE!</v>
      </c>
      <c r="O14" s="66" t="e">
        <f>IF(Q13&lt;30,N13,(N13+1))</f>
        <v>#VALUE!</v>
      </c>
      <c r="P14" s="67"/>
      <c r="Q14" s="67">
        <f t="shared" ref="Q14:Q19" si="7">IF(Q13&lt;30,Q13,(Q13-30))</f>
        <v>0</v>
      </c>
      <c r="R14" s="69"/>
      <c r="S14" s="69"/>
      <c r="T14" s="69"/>
    </row>
    <row r="15" spans="2:22" ht="24.75" hidden="1" customHeight="1" x14ac:dyDescent="0.2">
      <c r="B15" s="59"/>
      <c r="C15" s="59"/>
      <c r="D15" s="59"/>
      <c r="E15" s="59"/>
      <c r="F15" s="59"/>
      <c r="G15" s="59"/>
      <c r="H15" s="60"/>
      <c r="I15" s="538"/>
      <c r="J15" s="539"/>
      <c r="K15" s="65"/>
      <c r="L15" s="538" t="e">
        <f t="shared" si="6"/>
        <v>#VALUE!</v>
      </c>
      <c r="M15" s="539"/>
      <c r="N15" s="65"/>
      <c r="O15" s="66"/>
      <c r="P15" s="67"/>
      <c r="Q15" s="67">
        <f t="shared" si="7"/>
        <v>0</v>
      </c>
      <c r="R15" s="69"/>
      <c r="S15" s="69"/>
      <c r="T15" s="69"/>
    </row>
    <row r="16" spans="2:22" ht="25.5" hidden="1" customHeight="1" x14ac:dyDescent="0.2">
      <c r="B16" s="70"/>
      <c r="C16" s="71"/>
      <c r="D16" s="71"/>
      <c r="E16" s="71"/>
      <c r="F16" s="71"/>
      <c r="G16" s="71"/>
      <c r="H16" s="253" t="s">
        <v>16</v>
      </c>
      <c r="I16" s="538"/>
      <c r="J16" s="539"/>
      <c r="K16" s="65" t="e">
        <f>IF(L14&gt;=12,(K14),K13)</f>
        <v>#VALUE!</v>
      </c>
      <c r="L16" s="538" t="e">
        <f t="shared" si="6"/>
        <v>#VALUE!</v>
      </c>
      <c r="M16" s="539"/>
      <c r="N16" s="65" t="e">
        <f>IF(O16&lt;12,O16,(O16-12))</f>
        <v>#VALUE!</v>
      </c>
      <c r="O16" s="66" t="e">
        <f>IF(Q14&lt;30,N14,(N14+1))</f>
        <v>#VALUE!</v>
      </c>
      <c r="P16" s="66"/>
      <c r="Q16" s="67">
        <f t="shared" si="7"/>
        <v>0</v>
      </c>
      <c r="R16" s="69"/>
      <c r="S16" s="69"/>
      <c r="T16" s="69"/>
    </row>
    <row r="17" spans="2:23" ht="25.5" hidden="1" customHeight="1" x14ac:dyDescent="0.2">
      <c r="B17" s="254"/>
      <c r="C17" s="254"/>
      <c r="D17" s="254"/>
      <c r="E17" s="254"/>
      <c r="F17" s="254"/>
      <c r="G17" s="254"/>
      <c r="H17" s="253"/>
      <c r="I17" s="380"/>
      <c r="J17" s="381"/>
      <c r="K17" s="65"/>
      <c r="L17" s="538" t="e">
        <f t="shared" si="6"/>
        <v>#VALUE!</v>
      </c>
      <c r="M17" s="539"/>
      <c r="N17" s="65"/>
      <c r="O17" s="66"/>
      <c r="P17" s="66"/>
      <c r="Q17" s="67">
        <f t="shared" si="7"/>
        <v>0</v>
      </c>
      <c r="R17" s="69"/>
      <c r="S17" s="69"/>
      <c r="T17" s="69"/>
    </row>
    <row r="18" spans="2:23" ht="25.5" hidden="1" customHeight="1" x14ac:dyDescent="0.2">
      <c r="B18" s="254"/>
      <c r="C18" s="254"/>
      <c r="D18" s="254"/>
      <c r="E18" s="254"/>
      <c r="F18" s="254"/>
      <c r="G18" s="254"/>
      <c r="H18" s="253"/>
      <c r="I18" s="380"/>
      <c r="J18" s="381"/>
      <c r="K18" s="65"/>
      <c r="L18" s="538" t="e">
        <f t="shared" si="6"/>
        <v>#VALUE!</v>
      </c>
      <c r="M18" s="539"/>
      <c r="N18" s="65"/>
      <c r="O18" s="66"/>
      <c r="P18" s="66"/>
      <c r="Q18" s="67">
        <f t="shared" si="7"/>
        <v>0</v>
      </c>
      <c r="R18" s="69"/>
      <c r="S18" s="69"/>
      <c r="T18" s="69"/>
    </row>
    <row r="19" spans="2:23" ht="25.5" hidden="1" customHeight="1" x14ac:dyDescent="0.2">
      <c r="B19" s="254"/>
      <c r="C19" s="254"/>
      <c r="D19" s="254"/>
      <c r="E19" s="254"/>
      <c r="F19" s="254"/>
      <c r="G19" s="254"/>
      <c r="H19" s="253"/>
      <c r="I19" s="380"/>
      <c r="J19" s="381"/>
      <c r="K19" s="65"/>
      <c r="L19" s="538" t="e">
        <f t="shared" si="6"/>
        <v>#VALUE!</v>
      </c>
      <c r="M19" s="539"/>
      <c r="N19" s="65"/>
      <c r="O19" s="66"/>
      <c r="P19" s="66"/>
      <c r="Q19" s="67">
        <f t="shared" si="7"/>
        <v>0</v>
      </c>
      <c r="R19" s="69"/>
      <c r="S19" s="69"/>
      <c r="T19" s="69"/>
    </row>
    <row r="20" spans="2:23" ht="25.5" customHeight="1" x14ac:dyDescent="0.2">
      <c r="B20" s="254"/>
      <c r="C20" s="254"/>
      <c r="D20" s="254"/>
      <c r="E20" s="254"/>
      <c r="F20" s="254"/>
      <c r="G20" s="254"/>
      <c r="H20" s="61" t="s">
        <v>16</v>
      </c>
      <c r="I20" s="532">
        <f>IF(H8=0,(0),IF(L13&gt;=72,(I13+6),IF(L13&gt;=60,(I13+5),IF(L13&gt;=48,(K13+4),IF(L13&gt;=36,(K13+3),IF(L13&gt;=24,(K13+2),IF(L13&gt;=12,(K13+1),(K13))))))))</f>
        <v>0</v>
      </c>
      <c r="J20" s="533"/>
      <c r="K20" s="63" t="e">
        <f>IF(L16&gt;=12,(K16),K14)</f>
        <v>#VALUE!</v>
      </c>
      <c r="L20" s="532">
        <f>IF(H8=0,(0),IF(L19&gt;12,(L19-12),IF(L19=12,(0),L19)))</f>
        <v>0</v>
      </c>
      <c r="M20" s="533"/>
      <c r="N20" s="75" t="e">
        <f>IF(Q16&lt;30,N16,((L16+1)+1))</f>
        <v>#VALUE!</v>
      </c>
      <c r="O20" s="66" t="e">
        <f>IF(Q16&lt;30,N16,(N16+1))</f>
        <v>#VALUE!</v>
      </c>
      <c r="P20" s="66"/>
      <c r="Q20" s="371">
        <f>IF(H8=0,(0),IF(Q17&lt;30,Q17,(Q17-30)))</f>
        <v>0</v>
      </c>
      <c r="R20" s="69"/>
      <c r="S20" s="69"/>
      <c r="T20" s="69"/>
      <c r="U20" s="1"/>
    </row>
    <row r="21" spans="2:23" ht="26.25" hidden="1" customHeight="1" thickBot="1" x14ac:dyDescent="0.25">
      <c r="B21" s="59"/>
      <c r="C21" s="59"/>
      <c r="D21" s="59"/>
      <c r="E21" s="59"/>
      <c r="F21" s="59"/>
      <c r="G21" s="59"/>
      <c r="H21" s="77" t="s">
        <v>17</v>
      </c>
      <c r="I21" s="78"/>
      <c r="J21" s="79" t="str">
        <f>IF(H8&gt;0,(ROUND(J22, 2)),"")</f>
        <v/>
      </c>
      <c r="K21" s="59"/>
      <c r="L21" s="80"/>
      <c r="M21" s="81" t="s">
        <v>18</v>
      </c>
      <c r="N21" s="59"/>
      <c r="O21" s="59"/>
      <c r="P21" s="59"/>
      <c r="Q21" s="59"/>
      <c r="R21" s="59"/>
      <c r="S21" s="59"/>
      <c r="T21" s="59"/>
      <c r="U21" s="1"/>
      <c r="V21" s="8"/>
    </row>
    <row r="22" spans="2:23" ht="26.25" hidden="1" customHeight="1" thickTop="1" x14ac:dyDescent="0.25">
      <c r="B22" s="82"/>
      <c r="C22" s="82"/>
      <c r="D22" s="82"/>
      <c r="E22" s="82"/>
      <c r="F22" s="82"/>
      <c r="G22" s="82"/>
      <c r="H22" s="82"/>
      <c r="I22" s="82"/>
      <c r="J22" s="83" t="str">
        <f>IF(H8&gt;0,(I20+(L20/12)+(Q20/360))," ")</f>
        <v xml:space="preserve"> </v>
      </c>
      <c r="K22" s="82"/>
      <c r="L22" s="84"/>
      <c r="M22" s="85"/>
      <c r="N22" s="86"/>
      <c r="O22" s="86"/>
      <c r="P22" s="86"/>
      <c r="Q22" s="86"/>
      <c r="R22" s="86"/>
      <c r="S22" s="82"/>
      <c r="T22" s="82"/>
      <c r="U22" s="1"/>
      <c r="V22" s="8"/>
    </row>
    <row r="23" spans="2:23" ht="23.25" customHeight="1" x14ac:dyDescent="0.2">
      <c r="B23" s="82" t="s">
        <v>86</v>
      </c>
      <c r="C23" s="82"/>
      <c r="D23" s="82"/>
      <c r="E23" s="82"/>
      <c r="F23" s="82"/>
      <c r="G23" s="82"/>
      <c r="H23" s="82"/>
      <c r="I23" s="82"/>
      <c r="J23" s="87"/>
      <c r="K23" s="82"/>
      <c r="L23" s="84"/>
      <c r="M23" s="82"/>
      <c r="N23" s="82"/>
      <c r="O23" s="82"/>
      <c r="P23" s="82"/>
      <c r="Q23" s="89" t="str">
        <f>J21</f>
        <v/>
      </c>
      <c r="R23" s="82"/>
      <c r="S23" s="82"/>
      <c r="T23" s="82"/>
      <c r="U23" s="1"/>
      <c r="V23" s="90" t="s">
        <v>18</v>
      </c>
    </row>
    <row r="24" spans="2:23" ht="23.25" customHeight="1" x14ac:dyDescent="0.2">
      <c r="B24" s="91" t="s">
        <v>87</v>
      </c>
      <c r="C24" s="91"/>
      <c r="D24" s="91"/>
      <c r="E24" s="91"/>
      <c r="F24" s="91"/>
      <c r="G24" s="91"/>
      <c r="H24" s="91"/>
      <c r="I24" s="91"/>
      <c r="J24" s="91"/>
      <c r="K24" s="91"/>
      <c r="L24" s="92"/>
      <c r="M24" s="91"/>
      <c r="N24" s="91"/>
      <c r="O24" s="91"/>
      <c r="P24" s="91"/>
      <c r="Q24" s="89" t="str">
        <f>IF(H8&gt;0,(ROUND(J21,0))," ")</f>
        <v xml:space="preserve"> </v>
      </c>
      <c r="R24" s="91"/>
      <c r="S24" s="91"/>
      <c r="T24" s="91"/>
      <c r="U24" s="1"/>
      <c r="V24" s="90" t="s">
        <v>18</v>
      </c>
    </row>
    <row r="25" spans="2:23" ht="23.25" customHeight="1" x14ac:dyDescent="0.2">
      <c r="B25" s="93" t="s">
        <v>21</v>
      </c>
      <c r="C25" s="1"/>
      <c r="D25" s="1"/>
      <c r="E25" s="1"/>
      <c r="F25" s="1"/>
      <c r="G25" s="1"/>
      <c r="H25" s="1"/>
      <c r="I25" s="1"/>
      <c r="J25" s="94"/>
      <c r="K25" s="1"/>
      <c r="L25" s="8"/>
      <c r="M25" s="1"/>
      <c r="N25" s="1"/>
      <c r="O25" s="1"/>
      <c r="P25" s="1"/>
      <c r="Q25" s="1"/>
      <c r="R25" s="1"/>
      <c r="S25" s="1"/>
      <c r="T25" s="1"/>
      <c r="U25" s="1"/>
      <c r="V25" s="8"/>
    </row>
    <row r="26" spans="2:23" ht="23.25" customHeight="1" x14ac:dyDescent="0.2">
      <c r="B26" s="95" t="s">
        <v>22</v>
      </c>
      <c r="C26" s="96"/>
      <c r="D26" s="96"/>
      <c r="E26" s="96"/>
      <c r="F26" s="96"/>
      <c r="G26" s="96"/>
      <c r="H26" s="96"/>
      <c r="I26" s="96"/>
      <c r="J26" s="97"/>
      <c r="K26" s="96"/>
      <c r="L26" s="98"/>
      <c r="M26" s="96"/>
      <c r="N26" s="96"/>
      <c r="O26" s="96"/>
      <c r="P26" s="96"/>
      <c r="Q26" s="99"/>
      <c r="R26" s="1"/>
      <c r="S26" s="1"/>
      <c r="T26" s="1"/>
      <c r="U26" s="1"/>
    </row>
    <row r="27" spans="2:23" ht="20.25" customHeight="1" x14ac:dyDescent="0.2">
      <c r="B27" s="100" t="s">
        <v>6</v>
      </c>
      <c r="C27" s="100" t="s">
        <v>7</v>
      </c>
      <c r="D27" s="100"/>
      <c r="E27" s="375" t="s">
        <v>23</v>
      </c>
      <c r="F27" s="1"/>
      <c r="G27" s="1"/>
      <c r="H27" s="474" t="s">
        <v>24</v>
      </c>
      <c r="I27" s="475"/>
      <c r="J27" s="102" t="s">
        <v>25</v>
      </c>
      <c r="K27" s="100"/>
      <c r="L27" s="476" t="s">
        <v>26</v>
      </c>
      <c r="M27" s="477"/>
      <c r="N27" s="100" t="s">
        <v>27</v>
      </c>
      <c r="O27" s="100" t="s">
        <v>27</v>
      </c>
      <c r="P27" s="100"/>
      <c r="Q27" s="100" t="s">
        <v>28</v>
      </c>
      <c r="R27" s="374"/>
      <c r="S27" s="374"/>
      <c r="T27" s="374"/>
      <c r="U27" s="104"/>
      <c r="V27" s="255"/>
      <c r="W27" s="256"/>
    </row>
    <row r="28" spans="2:23" ht="19.5" customHeight="1" x14ac:dyDescent="0.2">
      <c r="B28" s="257"/>
      <c r="C28" s="257"/>
      <c r="D28" s="258"/>
      <c r="E28" s="259">
        <f>IF(B28&gt;0,MONTH(C28-B28),0)</f>
        <v>0</v>
      </c>
      <c r="H28" s="565"/>
      <c r="I28" s="566"/>
      <c r="J28" s="385"/>
      <c r="K28" s="260"/>
      <c r="L28" s="573"/>
      <c r="M28" s="574"/>
      <c r="N28" s="261"/>
      <c r="O28" s="261"/>
      <c r="P28" s="111">
        <f>(H28+J28+L28)</f>
        <v>0</v>
      </c>
      <c r="Q28" s="111">
        <f>(H28-J28+L28)*E28</f>
        <v>0</v>
      </c>
      <c r="R28" s="112"/>
      <c r="S28" s="112"/>
      <c r="T28" s="112"/>
      <c r="U28" s="256"/>
      <c r="V28" s="255"/>
      <c r="W28" s="262"/>
    </row>
    <row r="29" spans="2:23" ht="19.5" customHeight="1" x14ac:dyDescent="0.2">
      <c r="B29" s="257"/>
      <c r="C29" s="257"/>
      <c r="D29" s="258"/>
      <c r="E29" s="263">
        <f t="shared" ref="E29:E40" si="8">IF(B29&gt;0,MONTH(C29-B29),0)</f>
        <v>0</v>
      </c>
      <c r="H29" s="565"/>
      <c r="I29" s="566"/>
      <c r="J29" s="384"/>
      <c r="K29" s="260"/>
      <c r="L29" s="571"/>
      <c r="M29" s="572"/>
      <c r="N29" s="261"/>
      <c r="O29" s="261"/>
      <c r="P29" s="111">
        <f t="shared" ref="P29:P40" si="9">(H29+J29+L29)</f>
        <v>0</v>
      </c>
      <c r="Q29" s="111">
        <f>(H29-J29+L29)*E29</f>
        <v>0</v>
      </c>
      <c r="R29" s="112"/>
      <c r="S29" s="112"/>
      <c r="T29" s="112"/>
      <c r="U29" s="256"/>
      <c r="V29" s="255"/>
      <c r="W29" s="256"/>
    </row>
    <row r="30" spans="2:23" ht="19.5" customHeight="1" x14ac:dyDescent="0.2">
      <c r="B30" s="257"/>
      <c r="C30" s="257"/>
      <c r="D30" s="258"/>
      <c r="E30" s="263">
        <f t="shared" si="8"/>
        <v>0</v>
      </c>
      <c r="H30" s="565"/>
      <c r="I30" s="566"/>
      <c r="J30" s="384"/>
      <c r="K30" s="260"/>
      <c r="L30" s="571"/>
      <c r="M30" s="572"/>
      <c r="N30" s="261"/>
      <c r="O30" s="261"/>
      <c r="P30" s="111">
        <f t="shared" si="9"/>
        <v>0</v>
      </c>
      <c r="Q30" s="111">
        <f t="shared" ref="Q30:Q40" si="10">(H30-J30+L30)*E30</f>
        <v>0</v>
      </c>
      <c r="R30" s="112"/>
      <c r="S30" s="112"/>
      <c r="T30" s="112"/>
      <c r="U30" s="256"/>
      <c r="V30" s="255"/>
      <c r="W30" s="256"/>
    </row>
    <row r="31" spans="2:23" ht="19.5" customHeight="1" x14ac:dyDescent="0.2">
      <c r="B31" s="257"/>
      <c r="C31" s="257"/>
      <c r="D31" s="258"/>
      <c r="E31" s="263">
        <f t="shared" si="8"/>
        <v>0</v>
      </c>
      <c r="H31" s="565"/>
      <c r="I31" s="566"/>
      <c r="J31" s="384"/>
      <c r="K31" s="260"/>
      <c r="L31" s="571"/>
      <c r="M31" s="572"/>
      <c r="N31" s="261"/>
      <c r="O31" s="261"/>
      <c r="P31" s="111">
        <f t="shared" si="9"/>
        <v>0</v>
      </c>
      <c r="Q31" s="111">
        <f t="shared" si="10"/>
        <v>0</v>
      </c>
      <c r="R31" s="112"/>
      <c r="S31" s="112"/>
      <c r="T31" s="112"/>
      <c r="U31" s="256"/>
      <c r="V31" s="255"/>
      <c r="W31" s="256"/>
    </row>
    <row r="32" spans="2:23" ht="19.5" customHeight="1" x14ac:dyDescent="0.2">
      <c r="B32" s="257"/>
      <c r="C32" s="257"/>
      <c r="D32" s="258"/>
      <c r="E32" s="263">
        <f>IF(B32&gt;0,MONTH(C32-B32),0)</f>
        <v>0</v>
      </c>
      <c r="H32" s="565"/>
      <c r="I32" s="566"/>
      <c r="J32" s="384"/>
      <c r="K32" s="260"/>
      <c r="L32" s="571"/>
      <c r="M32" s="572"/>
      <c r="N32" s="261"/>
      <c r="O32" s="261"/>
      <c r="P32" s="111">
        <f t="shared" si="9"/>
        <v>0</v>
      </c>
      <c r="Q32" s="111">
        <f t="shared" si="10"/>
        <v>0</v>
      </c>
      <c r="R32" s="112"/>
      <c r="S32" s="112"/>
      <c r="T32" s="112"/>
      <c r="U32" s="256"/>
      <c r="V32" s="255"/>
      <c r="W32" s="256"/>
    </row>
    <row r="33" spans="2:23" ht="19.5" customHeight="1" x14ac:dyDescent="0.2">
      <c r="B33" s="257"/>
      <c r="C33" s="257"/>
      <c r="D33" s="258"/>
      <c r="E33" s="263">
        <f>IF(B33&gt;0,MONTH(C33-B33),0)</f>
        <v>0</v>
      </c>
      <c r="H33" s="565"/>
      <c r="I33" s="566"/>
      <c r="J33" s="384"/>
      <c r="K33" s="260"/>
      <c r="L33" s="571"/>
      <c r="M33" s="572"/>
      <c r="N33" s="261"/>
      <c r="O33" s="261"/>
      <c r="P33" s="111">
        <f t="shared" si="9"/>
        <v>0</v>
      </c>
      <c r="Q33" s="111">
        <f t="shared" si="10"/>
        <v>0</v>
      </c>
      <c r="R33" s="112"/>
      <c r="S33" s="112"/>
      <c r="T33" s="112"/>
      <c r="U33" s="256"/>
      <c r="V33" s="255"/>
      <c r="W33" s="256"/>
    </row>
    <row r="34" spans="2:23" ht="19.5" customHeight="1" x14ac:dyDescent="0.2">
      <c r="B34" s="257"/>
      <c r="C34" s="257"/>
      <c r="D34" s="258"/>
      <c r="E34" s="263">
        <f>IF(B34&gt;0,MONTH(C34-B34),0)</f>
        <v>0</v>
      </c>
      <c r="H34" s="565"/>
      <c r="I34" s="566"/>
      <c r="J34" s="384"/>
      <c r="K34" s="260"/>
      <c r="L34" s="571"/>
      <c r="M34" s="572"/>
      <c r="N34" s="261"/>
      <c r="O34" s="261"/>
      <c r="P34" s="111">
        <f t="shared" si="9"/>
        <v>0</v>
      </c>
      <c r="Q34" s="111">
        <f t="shared" si="10"/>
        <v>0</v>
      </c>
      <c r="R34" s="112"/>
      <c r="S34" s="112"/>
      <c r="T34" s="112"/>
      <c r="U34" s="256"/>
      <c r="V34" s="255"/>
      <c r="W34" s="256"/>
    </row>
    <row r="35" spans="2:23" ht="19.5" customHeight="1" x14ac:dyDescent="0.2">
      <c r="B35" s="257"/>
      <c r="C35" s="257"/>
      <c r="D35" s="258"/>
      <c r="E35" s="263">
        <f>IF(B35&gt;0,MONTH(C35-B35),0)</f>
        <v>0</v>
      </c>
      <c r="H35" s="565"/>
      <c r="I35" s="566"/>
      <c r="J35" s="384"/>
      <c r="K35" s="260"/>
      <c r="L35" s="567"/>
      <c r="M35" s="568"/>
      <c r="N35" s="261"/>
      <c r="O35" s="261"/>
      <c r="P35" s="111">
        <f t="shared" si="9"/>
        <v>0</v>
      </c>
      <c r="Q35" s="111">
        <f t="shared" si="10"/>
        <v>0</v>
      </c>
      <c r="R35" s="112"/>
      <c r="S35" s="112"/>
      <c r="T35" s="112"/>
      <c r="U35" s="256"/>
      <c r="V35" s="255"/>
      <c r="W35" s="256"/>
    </row>
    <row r="36" spans="2:23" ht="19.5" customHeight="1" x14ac:dyDescent="0.2">
      <c r="B36" s="257"/>
      <c r="C36" s="257"/>
      <c r="D36" s="258"/>
      <c r="E36" s="263">
        <f>IF(B36&gt;0,MONTH(C36-B36),0)</f>
        <v>0</v>
      </c>
      <c r="H36" s="565"/>
      <c r="I36" s="566"/>
      <c r="J36" s="384"/>
      <c r="K36" s="260"/>
      <c r="L36" s="567"/>
      <c r="M36" s="568"/>
      <c r="N36" s="261"/>
      <c r="O36" s="261"/>
      <c r="P36" s="111">
        <f t="shared" si="9"/>
        <v>0</v>
      </c>
      <c r="Q36" s="111">
        <f t="shared" si="10"/>
        <v>0</v>
      </c>
      <c r="R36" s="112"/>
      <c r="S36" s="112"/>
      <c r="T36" s="112"/>
      <c r="U36" s="256"/>
      <c r="V36" s="255"/>
      <c r="W36" s="256"/>
    </row>
    <row r="37" spans="2:23" ht="19.5" customHeight="1" x14ac:dyDescent="0.2">
      <c r="B37" s="257"/>
      <c r="C37" s="257"/>
      <c r="D37" s="258"/>
      <c r="E37" s="263">
        <f t="shared" si="8"/>
        <v>0</v>
      </c>
      <c r="H37" s="565"/>
      <c r="I37" s="566"/>
      <c r="J37" s="384"/>
      <c r="K37" s="260"/>
      <c r="L37" s="567"/>
      <c r="M37" s="568"/>
      <c r="N37" s="261"/>
      <c r="O37" s="261"/>
      <c r="P37" s="111">
        <f t="shared" si="9"/>
        <v>0</v>
      </c>
      <c r="Q37" s="111">
        <f t="shared" si="10"/>
        <v>0</v>
      </c>
      <c r="R37" s="112"/>
      <c r="S37" s="112"/>
      <c r="T37" s="112"/>
      <c r="U37" s="256"/>
      <c r="V37" s="255"/>
      <c r="W37" s="256"/>
    </row>
    <row r="38" spans="2:23" ht="19.5" customHeight="1" x14ac:dyDescent="0.2">
      <c r="B38" s="257"/>
      <c r="C38" s="257"/>
      <c r="D38" s="264"/>
      <c r="E38" s="263">
        <f t="shared" si="8"/>
        <v>0</v>
      </c>
      <c r="H38" s="565"/>
      <c r="I38" s="566"/>
      <c r="J38" s="383"/>
      <c r="K38" s="260"/>
      <c r="L38" s="567"/>
      <c r="M38" s="568"/>
      <c r="N38" s="261"/>
      <c r="O38" s="261"/>
      <c r="P38" s="111">
        <f t="shared" si="9"/>
        <v>0</v>
      </c>
      <c r="Q38" s="111">
        <f t="shared" si="10"/>
        <v>0</v>
      </c>
      <c r="R38" s="112"/>
      <c r="S38" s="112"/>
      <c r="T38" s="112"/>
      <c r="U38" s="256"/>
      <c r="V38" s="255"/>
      <c r="W38" s="256"/>
    </row>
    <row r="39" spans="2:23" ht="19.5" customHeight="1" x14ac:dyDescent="0.2">
      <c r="B39" s="257"/>
      <c r="C39" s="257"/>
      <c r="D39" s="264"/>
      <c r="E39" s="263">
        <f t="shared" si="8"/>
        <v>0</v>
      </c>
      <c r="H39" s="565"/>
      <c r="I39" s="566"/>
      <c r="J39" s="383"/>
      <c r="K39" s="260"/>
      <c r="L39" s="567"/>
      <c r="M39" s="568"/>
      <c r="N39" s="261"/>
      <c r="O39" s="261"/>
      <c r="P39" s="111">
        <f t="shared" si="9"/>
        <v>0</v>
      </c>
      <c r="Q39" s="111">
        <f t="shared" si="10"/>
        <v>0</v>
      </c>
      <c r="R39" s="112"/>
      <c r="S39" s="112"/>
      <c r="T39" s="112"/>
      <c r="U39" s="256"/>
      <c r="V39" s="255"/>
      <c r="W39" s="256"/>
    </row>
    <row r="40" spans="2:23" ht="19.5" customHeight="1" x14ac:dyDescent="0.2">
      <c r="B40" s="257"/>
      <c r="C40" s="257"/>
      <c r="D40" s="265"/>
      <c r="E40" s="266">
        <f t="shared" si="8"/>
        <v>0</v>
      </c>
      <c r="H40" s="569"/>
      <c r="I40" s="570"/>
      <c r="J40" s="267"/>
      <c r="K40" s="260"/>
      <c r="L40" s="567"/>
      <c r="M40" s="568"/>
      <c r="N40" s="261"/>
      <c r="O40" s="261"/>
      <c r="P40" s="111">
        <f t="shared" si="9"/>
        <v>0</v>
      </c>
      <c r="Q40" s="111">
        <f t="shared" si="10"/>
        <v>0</v>
      </c>
      <c r="R40" s="112"/>
      <c r="S40" s="112"/>
      <c r="T40" s="112"/>
      <c r="U40" s="256"/>
      <c r="V40" s="255"/>
      <c r="W40" s="256"/>
    </row>
    <row r="41" spans="2:23" ht="24" customHeight="1" x14ac:dyDescent="0.2">
      <c r="B41" s="459" t="s">
        <v>29</v>
      </c>
      <c r="C41" s="460"/>
      <c r="D41" s="125"/>
      <c r="E41" s="379">
        <f>SUM(E28:E40)</f>
        <v>0</v>
      </c>
      <c r="F41" s="125"/>
      <c r="G41" s="125"/>
      <c r="H41" s="127" t="s">
        <v>30</v>
      </c>
      <c r="I41" s="104"/>
      <c r="J41" s="128"/>
      <c r="K41" s="377"/>
      <c r="L41" s="130"/>
      <c r="M41" s="131"/>
      <c r="N41" s="132"/>
      <c r="O41" s="132"/>
      <c r="P41" s="133"/>
      <c r="Q41" s="134">
        <f>SUM(Q28:Q40)</f>
        <v>0</v>
      </c>
      <c r="R41" s="112"/>
      <c r="S41" s="112"/>
      <c r="T41" s="112"/>
      <c r="U41" s="256"/>
      <c r="V41" s="255"/>
      <c r="W41" s="256"/>
    </row>
    <row r="42" spans="2:23" ht="30.75" hidden="1" customHeight="1" x14ac:dyDescent="0.2">
      <c r="B42" s="135"/>
      <c r="C42" s="136"/>
      <c r="D42" s="136"/>
      <c r="E42" s="461" t="s">
        <v>31</v>
      </c>
      <c r="F42" s="461"/>
      <c r="G42" s="461"/>
      <c r="H42" s="461"/>
      <c r="I42" s="461"/>
      <c r="J42" s="461"/>
      <c r="K42" s="461"/>
      <c r="L42" s="461"/>
      <c r="M42" s="462"/>
      <c r="N42" s="91"/>
      <c r="O42" s="91"/>
      <c r="P42" s="91"/>
      <c r="Q42" s="137">
        <f>Q41/60</f>
        <v>0</v>
      </c>
      <c r="R42" s="112"/>
      <c r="S42" s="112"/>
      <c r="T42" s="112"/>
    </row>
    <row r="43" spans="2:23" ht="23.25" customHeight="1" x14ac:dyDescent="0.2">
      <c r="B43" s="135"/>
      <c r="C43" s="138" t="s">
        <v>88</v>
      </c>
      <c r="D43" s="138"/>
      <c r="E43" s="104"/>
      <c r="F43" s="138"/>
      <c r="G43" s="138"/>
      <c r="H43" s="139" t="str">
        <f>IF(Q41&gt;0,(Q41),"")</f>
        <v/>
      </c>
      <c r="I43" s="138" t="s">
        <v>33</v>
      </c>
      <c r="J43" s="140" t="s">
        <v>34</v>
      </c>
      <c r="K43" s="138"/>
      <c r="L43" s="138" t="s">
        <v>35</v>
      </c>
      <c r="M43" s="141"/>
      <c r="N43" s="91"/>
      <c r="O43" s="91"/>
      <c r="P43" s="91"/>
      <c r="Q43" s="132">
        <f>ROUND(Q42,2)</f>
        <v>0</v>
      </c>
      <c r="R43" s="112"/>
      <c r="S43" s="112"/>
      <c r="T43" s="112"/>
    </row>
    <row r="44" spans="2:23" ht="39.75" hidden="1" customHeight="1" x14ac:dyDescent="0.2">
      <c r="B44" s="135"/>
      <c r="C44" s="142" t="s">
        <v>36</v>
      </c>
      <c r="D44" s="142"/>
      <c r="E44" s="104"/>
      <c r="F44" s="142"/>
      <c r="G44" s="142"/>
      <c r="H44" s="139">
        <f t="shared" ref="H44" si="11">Q42</f>
        <v>0</v>
      </c>
      <c r="I44" s="142"/>
      <c r="J44" s="142"/>
      <c r="K44" s="142"/>
      <c r="L44" s="138" t="s">
        <v>37</v>
      </c>
      <c r="M44" s="143"/>
      <c r="N44" s="91"/>
      <c r="O44" s="91"/>
      <c r="P44" s="91"/>
      <c r="Q44" s="144">
        <f>Q43*70%</f>
        <v>0</v>
      </c>
      <c r="R44" s="145"/>
      <c r="S44" s="145"/>
      <c r="T44" s="145"/>
    </row>
    <row r="45" spans="2:23" ht="21.75" customHeight="1" x14ac:dyDescent="0.2">
      <c r="B45" s="146"/>
      <c r="C45" s="147" t="s">
        <v>89</v>
      </c>
      <c r="D45" s="147"/>
      <c r="E45" s="148"/>
      <c r="F45" s="147"/>
      <c r="G45" s="147"/>
      <c r="H45" s="149" t="str">
        <f>IF(Q43&gt;0,(Q43),"")</f>
        <v/>
      </c>
      <c r="I45" s="147" t="s">
        <v>39</v>
      </c>
      <c r="J45" s="147" t="s">
        <v>40</v>
      </c>
      <c r="K45" s="147"/>
      <c r="L45" s="150" t="s">
        <v>35</v>
      </c>
      <c r="M45" s="151"/>
      <c r="N45" s="91"/>
      <c r="O45" s="91"/>
      <c r="P45" s="91"/>
      <c r="Q45" s="152">
        <f>ROUND(Q44, 2)</f>
        <v>0</v>
      </c>
      <c r="R45" s="145"/>
      <c r="S45" s="145"/>
      <c r="T45" s="145"/>
    </row>
    <row r="46" spans="2:23" ht="15.75" customHeight="1" x14ac:dyDescent="0.2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2"/>
      <c r="M46" s="91"/>
      <c r="N46" s="91"/>
      <c r="O46" s="91"/>
      <c r="P46" s="91"/>
      <c r="Q46" s="91"/>
      <c r="R46" s="269"/>
      <c r="S46" s="269"/>
      <c r="T46" s="269"/>
    </row>
    <row r="47" spans="2:23" ht="20.25" customHeight="1" x14ac:dyDescent="0.2">
      <c r="B47" s="153" t="s">
        <v>41</v>
      </c>
      <c r="C47" s="154"/>
      <c r="D47" s="154"/>
      <c r="E47" s="155" t="s">
        <v>35</v>
      </c>
      <c r="F47" s="155"/>
      <c r="G47" s="155"/>
      <c r="H47" s="156" t="s">
        <v>90</v>
      </c>
      <c r="I47" s="156"/>
      <c r="J47" s="156"/>
      <c r="K47" s="156"/>
      <c r="L47" s="157"/>
      <c r="M47" s="156"/>
      <c r="N47" s="156"/>
      <c r="O47" s="156"/>
      <c r="P47" s="156"/>
      <c r="Q47" s="158"/>
      <c r="R47" s="91"/>
      <c r="S47" s="91"/>
      <c r="T47" s="91"/>
    </row>
    <row r="48" spans="2:23" ht="20.25" customHeight="1" x14ac:dyDescent="0.2">
      <c r="B48" s="135"/>
      <c r="C48" s="136"/>
      <c r="D48" s="136"/>
      <c r="E48" s="374" t="s">
        <v>35</v>
      </c>
      <c r="F48" s="374"/>
      <c r="G48" s="374"/>
      <c r="H48" s="145" t="str">
        <f>IF(Q43&gt;0,(Q43),(""))</f>
        <v/>
      </c>
      <c r="I48" s="145" t="s">
        <v>39</v>
      </c>
      <c r="J48" s="159" t="str">
        <f>J21</f>
        <v/>
      </c>
      <c r="K48" s="374"/>
      <c r="L48" s="160" t="s">
        <v>33</v>
      </c>
      <c r="M48" s="140">
        <f>50</f>
        <v>50</v>
      </c>
      <c r="N48" s="136"/>
      <c r="O48" s="136"/>
      <c r="P48" s="136"/>
      <c r="Q48" s="161"/>
      <c r="R48" s="91"/>
      <c r="S48" s="91"/>
      <c r="T48" s="91"/>
    </row>
    <row r="49" spans="2:30" ht="20.25" customHeight="1" x14ac:dyDescent="0.2">
      <c r="B49" s="135"/>
      <c r="C49" s="136"/>
      <c r="D49" s="136"/>
      <c r="E49" s="374" t="s">
        <v>35</v>
      </c>
      <c r="F49" s="162" t="str">
        <f>IF(E6&gt;0,(H48*J48/M48),(""))</f>
        <v/>
      </c>
      <c r="G49" s="163" t="str">
        <f>IF(E6&gt;0,ROUND(F49,2),"")</f>
        <v/>
      </c>
      <c r="H49" s="164" t="str">
        <f>IF(Q43&gt;0,(G49),"")</f>
        <v/>
      </c>
      <c r="I49" s="162" t="s">
        <v>43</v>
      </c>
      <c r="J49" s="136"/>
      <c r="K49" s="136"/>
      <c r="L49" s="165"/>
      <c r="M49" s="136"/>
      <c r="N49" s="136"/>
      <c r="O49" s="136"/>
      <c r="P49" s="136"/>
      <c r="Q49" s="161"/>
      <c r="R49" s="91"/>
      <c r="S49" s="91"/>
      <c r="T49" s="91"/>
    </row>
    <row r="50" spans="2:30" ht="20.25" customHeight="1" x14ac:dyDescent="0.2">
      <c r="B50" s="135" t="s">
        <v>44</v>
      </c>
      <c r="C50" s="136"/>
      <c r="D50" s="136"/>
      <c r="E50" s="374"/>
      <c r="F50" s="374"/>
      <c r="G50" s="374"/>
      <c r="H50" s="136"/>
      <c r="I50" s="136"/>
      <c r="J50" s="136"/>
      <c r="K50" s="136"/>
      <c r="L50" s="165"/>
      <c r="M50" s="136"/>
      <c r="N50" s="136"/>
      <c r="O50" s="136"/>
      <c r="P50" s="136"/>
      <c r="Q50" s="161"/>
      <c r="R50" s="91"/>
      <c r="S50" s="91"/>
      <c r="T50" s="91"/>
    </row>
    <row r="51" spans="2:30" ht="20.25" customHeight="1" x14ac:dyDescent="0.2">
      <c r="B51" s="166" t="s">
        <v>201</v>
      </c>
      <c r="C51" s="167"/>
      <c r="D51" s="167"/>
      <c r="E51" s="168"/>
      <c r="F51" s="168"/>
      <c r="G51" s="168"/>
      <c r="H51" s="169" t="str">
        <f>IF(E6&gt;0,IF(H49&lt;Q45,G49,Q45),(""))</f>
        <v/>
      </c>
      <c r="I51" s="170" t="s">
        <v>43</v>
      </c>
      <c r="J51" s="170"/>
      <c r="K51" s="170"/>
      <c r="L51" s="171"/>
      <c r="M51" s="170"/>
      <c r="N51" s="170"/>
      <c r="O51" s="170"/>
      <c r="P51" s="170"/>
      <c r="Q51" s="172"/>
      <c r="R51" s="91"/>
      <c r="S51" s="91"/>
      <c r="T51" s="91"/>
    </row>
    <row r="52" spans="2:30" ht="15" customHeight="1" x14ac:dyDescent="0.2">
      <c r="B52" s="91"/>
      <c r="C52" s="91"/>
      <c r="D52" s="91"/>
      <c r="E52" s="173"/>
      <c r="F52" s="173"/>
      <c r="G52" s="173"/>
      <c r="H52" s="174"/>
      <c r="I52" s="174"/>
      <c r="J52" s="91"/>
      <c r="K52" s="91"/>
      <c r="L52" s="92"/>
      <c r="M52" s="91"/>
      <c r="N52" s="91"/>
      <c r="O52" s="91"/>
      <c r="P52" s="91"/>
      <c r="Q52" s="91"/>
      <c r="R52" s="91"/>
      <c r="S52" s="91"/>
      <c r="T52" s="91"/>
    </row>
    <row r="53" spans="2:30" ht="20.25" customHeight="1" x14ac:dyDescent="0.2">
      <c r="B53" s="153" t="s">
        <v>186</v>
      </c>
      <c r="C53" s="154"/>
      <c r="D53" s="154"/>
      <c r="E53" s="155"/>
      <c r="F53" s="155"/>
      <c r="G53" s="155"/>
      <c r="H53" s="156" t="s">
        <v>45</v>
      </c>
      <c r="I53" s="156"/>
      <c r="J53" s="156"/>
      <c r="K53" s="156"/>
      <c r="L53" s="157"/>
      <c r="M53" s="156"/>
      <c r="N53" s="156"/>
      <c r="O53" s="156"/>
      <c r="P53" s="156"/>
      <c r="Q53" s="158"/>
      <c r="R53" s="91"/>
      <c r="S53" s="91"/>
      <c r="T53" s="91"/>
    </row>
    <row r="54" spans="2:30" ht="20.25" customHeight="1" x14ac:dyDescent="0.2">
      <c r="B54" s="270"/>
      <c r="C54" s="271"/>
      <c r="D54" s="271"/>
      <c r="E54" s="374" t="s">
        <v>184</v>
      </c>
      <c r="F54" s="374"/>
      <c r="G54" s="374"/>
      <c r="H54" s="145">
        <f>IF(H40&gt;0,P40,IF(H39&gt;0,P39,IF(H38&gt;0,P38,IF(H37&gt;0,P37,IF(H36&gt;0,P36,IF(H35&gt;0,P35,IF(H34&gt;0,P34,IF(H33&gt;0,P33,IF(H32&gt;0,P32,IF(H31&gt;0,P31,IF(H30&gt;0,P30,IF(H29&gt;0,P29,IF(H28&gt;0,P28,(0))))))))))))))</f>
        <v>0</v>
      </c>
      <c r="I54" s="374" t="s">
        <v>39</v>
      </c>
      <c r="J54" s="145" t="str">
        <f>IF(E6&gt;0,(ROUND(J21,0)),(""))</f>
        <v/>
      </c>
      <c r="K54" s="136"/>
      <c r="L54" s="160" t="s">
        <v>33</v>
      </c>
      <c r="M54" s="140">
        <v>50</v>
      </c>
      <c r="N54" s="136"/>
      <c r="O54" s="136"/>
      <c r="P54" s="136"/>
      <c r="Q54" s="161"/>
      <c r="R54" s="91"/>
      <c r="S54" s="91"/>
      <c r="T54" s="91"/>
    </row>
    <row r="55" spans="2:30" ht="20.25" customHeight="1" x14ac:dyDescent="0.2">
      <c r="B55" s="135"/>
      <c r="C55" s="136"/>
      <c r="D55" s="136"/>
      <c r="E55" s="374" t="s">
        <v>184</v>
      </c>
      <c r="F55" s="374"/>
      <c r="G55" s="374"/>
      <c r="H55" s="175" t="str">
        <f>IF(E6&gt;0,(ROUND((H54*J54/M54),2)),(""))</f>
        <v/>
      </c>
      <c r="I55" s="136" t="s">
        <v>43</v>
      </c>
      <c r="J55" s="136"/>
      <c r="K55" s="136"/>
      <c r="L55" s="165"/>
      <c r="M55" s="136"/>
      <c r="N55" s="136"/>
      <c r="O55" s="136"/>
      <c r="P55" s="136"/>
      <c r="Q55" s="161"/>
      <c r="R55" s="91"/>
      <c r="S55" s="91"/>
      <c r="T55" s="91"/>
    </row>
    <row r="56" spans="2:30" ht="20.25" customHeight="1" x14ac:dyDescent="0.2">
      <c r="B56" s="176" t="s">
        <v>173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5"/>
      <c r="M56" s="104"/>
      <c r="N56" s="104"/>
      <c r="O56" s="104"/>
      <c r="P56" s="104"/>
      <c r="Q56" s="177"/>
    </row>
    <row r="57" spans="2:30" ht="27" customHeight="1" x14ac:dyDescent="0.2">
      <c r="B57" s="166" t="s">
        <v>200</v>
      </c>
      <c r="C57" s="178"/>
      <c r="D57" s="178"/>
      <c r="E57" s="178"/>
      <c r="F57" s="178"/>
      <c r="G57" s="178"/>
      <c r="H57" s="179" t="str">
        <f>IF(E6&gt;0,IF((H55&lt;(H54)),(H55),H54),(""))</f>
        <v/>
      </c>
      <c r="I57" s="170" t="s">
        <v>43</v>
      </c>
      <c r="J57" s="178"/>
      <c r="K57" s="178"/>
      <c r="L57" s="180"/>
      <c r="M57" s="178"/>
      <c r="N57" s="178"/>
      <c r="O57" s="178"/>
      <c r="P57" s="178"/>
      <c r="Q57" s="181"/>
    </row>
    <row r="58" spans="2:30" ht="21.75" customHeight="1" x14ac:dyDescent="0.25">
      <c r="B58" s="182" t="s">
        <v>47</v>
      </c>
      <c r="C58" s="182"/>
      <c r="D58" s="182"/>
      <c r="E58" s="85"/>
      <c r="F58" s="85"/>
      <c r="G58" s="85"/>
      <c r="H58" s="85"/>
      <c r="I58" s="85"/>
      <c r="J58" s="85"/>
      <c r="K58" s="85"/>
      <c r="L58" s="183"/>
      <c r="M58" s="85"/>
      <c r="N58" s="85"/>
      <c r="O58" s="85"/>
      <c r="P58" s="85"/>
      <c r="Q58" s="85"/>
      <c r="R58" s="85"/>
      <c r="S58" s="85"/>
      <c r="T58" s="85"/>
    </row>
    <row r="59" spans="2:30" ht="25.5" customHeight="1" x14ac:dyDescent="0.25">
      <c r="B59" s="184" t="s">
        <v>187</v>
      </c>
      <c r="C59" s="185"/>
      <c r="D59" s="185"/>
      <c r="E59" s="185"/>
      <c r="F59" s="185"/>
      <c r="G59" s="185"/>
      <c r="H59" s="186" t="str">
        <f>IF(H57&gt;0,(H57),"")</f>
        <v/>
      </c>
      <c r="I59" s="187" t="s">
        <v>48</v>
      </c>
      <c r="J59" s="186" t="str">
        <f>IF(H51&gt;0,(H51),"")</f>
        <v/>
      </c>
      <c r="K59" s="185"/>
      <c r="L59" s="188" t="s">
        <v>49</v>
      </c>
      <c r="M59" s="189" t="str">
        <f>IF(E6&gt;0,($H$57-$H$51),"")</f>
        <v/>
      </c>
      <c r="N59" s="190"/>
      <c r="O59" s="190"/>
      <c r="P59" s="190"/>
      <c r="Q59" s="191" t="s">
        <v>50</v>
      </c>
      <c r="R59" s="192"/>
      <c r="S59" s="192"/>
      <c r="T59" s="192"/>
      <c r="U59" s="1"/>
    </row>
    <row r="60" spans="2:30" ht="25.5" customHeight="1" x14ac:dyDescent="0.25">
      <c r="B60" s="463" t="s">
        <v>174</v>
      </c>
      <c r="C60" s="464"/>
      <c r="D60" s="464"/>
      <c r="E60" s="464"/>
      <c r="F60" s="464"/>
      <c r="G60" s="464"/>
      <c r="H60" s="464"/>
      <c r="I60" s="464"/>
      <c r="J60" s="464"/>
      <c r="K60" s="464"/>
      <c r="L60" s="465"/>
      <c r="M60" s="272"/>
      <c r="N60" s="273"/>
      <c r="O60" s="273"/>
      <c r="P60" s="273"/>
      <c r="Q60" s="191" t="s">
        <v>51</v>
      </c>
      <c r="R60" s="192"/>
      <c r="S60" s="192"/>
      <c r="T60" s="192"/>
      <c r="U60" s="1"/>
    </row>
    <row r="61" spans="2:30" s="1" customFormat="1" ht="25.5" customHeight="1" x14ac:dyDescent="0.25">
      <c r="B61" s="194" t="s">
        <v>52</v>
      </c>
      <c r="C61" s="185"/>
      <c r="D61" s="185"/>
      <c r="E61" s="274"/>
      <c r="F61" s="185"/>
      <c r="G61" s="185"/>
      <c r="H61" s="186" t="str">
        <f>IF(M59&gt;0,(M59),"")</f>
        <v/>
      </c>
      <c r="I61" s="185" t="s">
        <v>53</v>
      </c>
      <c r="J61" s="274"/>
      <c r="K61" s="185"/>
      <c r="L61" s="185"/>
      <c r="M61" s="195" t="str">
        <f>IF(M59&gt;0,(M62),"")</f>
        <v/>
      </c>
      <c r="N61" s="190"/>
      <c r="O61" s="190"/>
      <c r="P61" s="190"/>
      <c r="Q61" s="190" t="s">
        <v>54</v>
      </c>
      <c r="R61" s="196"/>
      <c r="S61" s="196"/>
      <c r="T61" s="196"/>
      <c r="V61" s="235"/>
      <c r="W61" s="233"/>
      <c r="X61" s="233"/>
      <c r="Y61" s="233"/>
      <c r="Z61" s="233"/>
      <c r="AA61" s="233"/>
      <c r="AB61" s="233"/>
      <c r="AC61" s="233"/>
      <c r="AD61" s="233"/>
    </row>
    <row r="62" spans="2:30" s="1" customFormat="1" ht="24" hidden="1" customHeight="1" x14ac:dyDescent="0.2">
      <c r="E62" s="378"/>
      <c r="F62" s="378"/>
      <c r="G62" s="378"/>
      <c r="H62" s="198"/>
      <c r="I62" s="198"/>
      <c r="L62" s="8"/>
      <c r="M62" s="275" t="str">
        <f>IF(E6&gt;0,ROUND(($M$60/$M$59)/12,2),"")</f>
        <v/>
      </c>
      <c r="V62" s="8"/>
    </row>
    <row r="63" spans="2:30" s="1" customFormat="1" ht="16.5" customHeight="1" x14ac:dyDescent="0.2">
      <c r="B63" s="564"/>
      <c r="C63" s="564"/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Q63" s="564"/>
      <c r="V63" s="8"/>
    </row>
    <row r="64" spans="2:30" s="1" customFormat="1" ht="40.5" customHeight="1" x14ac:dyDescent="0.65">
      <c r="B64" s="199" t="s">
        <v>55</v>
      </c>
      <c r="E64" s="378"/>
      <c r="F64" s="378"/>
      <c r="G64" s="378"/>
      <c r="H64" s="198"/>
      <c r="I64" s="198"/>
      <c r="L64" s="8"/>
      <c r="V64" s="8"/>
    </row>
    <row r="65" spans="2:22" s="1" customFormat="1" ht="30.75" customHeight="1" x14ac:dyDescent="0.65">
      <c r="B65" s="276" t="s">
        <v>56</v>
      </c>
      <c r="C65" s="208"/>
      <c r="D65" s="208"/>
      <c r="E65" s="208"/>
      <c r="F65" s="208"/>
      <c r="G65" s="208"/>
      <c r="H65" s="208"/>
      <c r="I65" s="208"/>
      <c r="J65" s="208"/>
      <c r="K65" s="209"/>
      <c r="L65" s="210"/>
      <c r="M65" s="209"/>
      <c r="N65" s="209"/>
      <c r="O65" s="209"/>
      <c r="P65" s="209"/>
      <c r="Q65" s="209"/>
      <c r="V65" s="8"/>
    </row>
    <row r="66" spans="2:22" s="1" customFormat="1" ht="30.75" customHeight="1" x14ac:dyDescent="0.65">
      <c r="B66" s="276" t="s">
        <v>57</v>
      </c>
      <c r="C66" s="276"/>
      <c r="D66" s="276"/>
      <c r="E66" s="276"/>
      <c r="F66" s="276"/>
      <c r="G66" s="276"/>
      <c r="H66" s="276"/>
      <c r="I66" s="276"/>
      <c r="J66" s="276"/>
      <c r="K66" s="209"/>
      <c r="L66" s="210"/>
      <c r="M66" s="209"/>
      <c r="N66" s="209"/>
      <c r="O66" s="209"/>
      <c r="P66" s="209"/>
      <c r="Q66" s="209"/>
      <c r="V66" s="8"/>
    </row>
    <row r="67" spans="2:22" ht="30.75" customHeight="1" x14ac:dyDescent="0.65">
      <c r="B67" s="276" t="s">
        <v>58</v>
      </c>
      <c r="C67" s="276"/>
      <c r="D67" s="276"/>
      <c r="E67" s="276"/>
      <c r="F67" s="276"/>
      <c r="G67" s="276"/>
      <c r="H67" s="276"/>
      <c r="I67" s="276"/>
      <c r="J67" s="276"/>
      <c r="K67" s="209"/>
      <c r="L67" s="210"/>
      <c r="M67" s="209"/>
      <c r="N67" s="209"/>
      <c r="O67" s="209"/>
      <c r="P67" s="209"/>
      <c r="Q67" s="209"/>
      <c r="R67" s="1"/>
      <c r="S67" s="1"/>
      <c r="T67" s="1"/>
      <c r="U67" s="1"/>
      <c r="V67" s="8"/>
    </row>
    <row r="68" spans="2:22" ht="30.75" customHeight="1" x14ac:dyDescent="0.65">
      <c r="B68" s="276" t="s">
        <v>59</v>
      </c>
      <c r="C68" s="276"/>
      <c r="D68" s="276"/>
      <c r="E68" s="276"/>
      <c r="F68" s="276"/>
      <c r="G68" s="276"/>
      <c r="H68" s="276"/>
      <c r="I68" s="276"/>
      <c r="J68" s="276"/>
      <c r="K68" s="209"/>
      <c r="L68" s="210"/>
      <c r="M68" s="209"/>
      <c r="N68" s="209"/>
      <c r="O68" s="209"/>
      <c r="P68" s="209"/>
      <c r="Q68" s="209"/>
      <c r="R68" s="1"/>
      <c r="S68" s="1"/>
      <c r="T68" s="1"/>
      <c r="U68" s="1"/>
      <c r="V68" s="8"/>
    </row>
    <row r="69" spans="2:22" ht="30.75" customHeight="1" x14ac:dyDescent="0.65">
      <c r="B69" s="276" t="s">
        <v>60</v>
      </c>
      <c r="C69" s="276"/>
      <c r="D69" s="276"/>
      <c r="E69" s="276"/>
      <c r="F69" s="276"/>
      <c r="G69" s="276"/>
      <c r="H69" s="276"/>
      <c r="I69" s="276"/>
      <c r="J69" s="276"/>
      <c r="K69" s="209"/>
      <c r="L69" s="210"/>
      <c r="M69" s="209"/>
      <c r="N69" s="209"/>
      <c r="O69" s="209"/>
      <c r="P69" s="209"/>
      <c r="Q69" s="209"/>
      <c r="R69" s="1"/>
      <c r="S69" s="1"/>
      <c r="T69" s="1"/>
      <c r="U69" s="1"/>
      <c r="V69" s="8"/>
    </row>
    <row r="70" spans="2:22" ht="30.75" customHeight="1" x14ac:dyDescent="0.65">
      <c r="B70" s="276" t="s">
        <v>92</v>
      </c>
      <c r="C70" s="208"/>
      <c r="D70" s="208"/>
      <c r="E70" s="208"/>
      <c r="F70" s="208"/>
      <c r="G70" s="208"/>
      <c r="H70" s="208"/>
      <c r="I70" s="208"/>
      <c r="J70" s="208"/>
      <c r="K70" s="209"/>
      <c r="L70" s="210"/>
      <c r="M70" s="209"/>
      <c r="N70" s="209"/>
      <c r="O70" s="209"/>
      <c r="P70" s="209"/>
      <c r="Q70" s="209"/>
      <c r="R70" s="1"/>
      <c r="S70" s="1"/>
      <c r="T70" s="1"/>
      <c r="U70" s="1"/>
      <c r="V70" s="8"/>
    </row>
    <row r="71" spans="2:22" ht="30.75" customHeight="1" x14ac:dyDescent="0.65">
      <c r="B71" s="276" t="s">
        <v>93</v>
      </c>
      <c r="C71" s="208"/>
      <c r="D71" s="208"/>
      <c r="E71" s="208"/>
      <c r="F71" s="208"/>
      <c r="G71" s="208"/>
      <c r="H71" s="208"/>
      <c r="I71" s="208"/>
      <c r="J71" s="208"/>
      <c r="K71" s="209"/>
      <c r="L71" s="210"/>
      <c r="M71" s="209"/>
      <c r="N71" s="209"/>
      <c r="O71" s="209"/>
      <c r="P71" s="209"/>
      <c r="Q71" s="209"/>
      <c r="R71" s="1"/>
      <c r="S71" s="1"/>
      <c r="T71" s="1"/>
      <c r="U71" s="1"/>
      <c r="V71" s="8"/>
    </row>
    <row r="72" spans="2:22" ht="26.25" customHeight="1" x14ac:dyDescent="0.65">
      <c r="B72" s="207" t="s">
        <v>6</v>
      </c>
      <c r="C72" s="207" t="s">
        <v>7</v>
      </c>
      <c r="D72" s="207"/>
      <c r="E72" s="207" t="s">
        <v>23</v>
      </c>
      <c r="F72" s="208"/>
      <c r="G72" s="208"/>
      <c r="H72" s="457" t="s">
        <v>24</v>
      </c>
      <c r="I72" s="458"/>
      <c r="J72" s="208"/>
      <c r="K72" s="209"/>
      <c r="L72" s="210"/>
      <c r="M72" s="209"/>
      <c r="N72" s="209"/>
      <c r="O72" s="209"/>
      <c r="P72" s="209"/>
      <c r="Q72" s="209"/>
      <c r="R72" s="1"/>
      <c r="S72" s="1"/>
      <c r="T72" s="1"/>
      <c r="U72" s="1"/>
      <c r="V72" s="8"/>
    </row>
    <row r="73" spans="2:22" ht="38.25" customHeight="1" x14ac:dyDescent="0.65">
      <c r="B73" s="277">
        <v>40087</v>
      </c>
      <c r="C73" s="277">
        <v>40268</v>
      </c>
      <c r="D73" s="107"/>
      <c r="E73" s="278">
        <f t="shared" ref="E73:E77" si="12">IF(B73&gt;0,MONTH(C73-B73),0)</f>
        <v>6</v>
      </c>
      <c r="F73" s="208"/>
      <c r="G73" s="208"/>
      <c r="H73" s="525"/>
      <c r="I73" s="526"/>
      <c r="J73" s="208"/>
      <c r="K73" s="209"/>
      <c r="L73" s="210"/>
      <c r="M73" s="209"/>
      <c r="N73" s="209"/>
      <c r="O73" s="209"/>
      <c r="P73" s="209"/>
      <c r="Q73" s="209"/>
      <c r="R73" s="1"/>
      <c r="S73" s="1"/>
      <c r="T73" s="1"/>
      <c r="U73" s="1"/>
      <c r="V73" s="8"/>
    </row>
    <row r="74" spans="2:22" ht="38.25" customHeight="1" x14ac:dyDescent="0.65">
      <c r="B74" s="277">
        <v>40269</v>
      </c>
      <c r="C74" s="277">
        <v>40451</v>
      </c>
      <c r="D74" s="107"/>
      <c r="E74" s="278">
        <f t="shared" si="12"/>
        <v>6</v>
      </c>
      <c r="F74" s="208"/>
      <c r="G74" s="208"/>
      <c r="H74" s="525"/>
      <c r="I74" s="526"/>
      <c r="J74" s="208"/>
      <c r="K74" s="209"/>
      <c r="L74" s="210"/>
      <c r="M74" s="209"/>
      <c r="N74" s="209"/>
      <c r="O74" s="209"/>
      <c r="P74" s="209"/>
      <c r="Q74" s="209"/>
      <c r="R74" s="1"/>
      <c r="S74" s="1"/>
      <c r="T74" s="1"/>
      <c r="U74" s="1"/>
      <c r="V74" s="8"/>
    </row>
    <row r="75" spans="2:22" ht="38.25" customHeight="1" x14ac:dyDescent="0.65">
      <c r="B75" s="277">
        <v>40452</v>
      </c>
      <c r="C75" s="277">
        <v>40574</v>
      </c>
      <c r="D75" s="107"/>
      <c r="E75" s="278">
        <f t="shared" si="12"/>
        <v>5</v>
      </c>
      <c r="F75" s="208"/>
      <c r="G75" s="208"/>
      <c r="H75" s="525"/>
      <c r="I75" s="526"/>
      <c r="J75" s="276" t="s">
        <v>63</v>
      </c>
      <c r="K75" s="209"/>
      <c r="L75" s="210"/>
      <c r="M75" s="209"/>
      <c r="N75" s="209"/>
      <c r="O75" s="209"/>
      <c r="P75" s="209"/>
      <c r="Q75" s="209"/>
      <c r="R75" s="1"/>
      <c r="S75" s="1"/>
      <c r="T75" s="1"/>
      <c r="U75" s="1"/>
      <c r="V75" s="8"/>
    </row>
    <row r="76" spans="2:22" ht="38.25" customHeight="1" x14ac:dyDescent="0.65">
      <c r="B76" s="277">
        <v>40452</v>
      </c>
      <c r="C76" s="277">
        <v>40573</v>
      </c>
      <c r="D76" s="107"/>
      <c r="E76" s="278">
        <f t="shared" si="12"/>
        <v>4</v>
      </c>
      <c r="F76" s="208"/>
      <c r="G76" s="208"/>
      <c r="H76" s="525"/>
      <c r="I76" s="526"/>
      <c r="J76" s="215" t="s">
        <v>64</v>
      </c>
      <c r="K76" s="209"/>
      <c r="L76" s="210"/>
      <c r="M76" s="209"/>
      <c r="N76" s="209"/>
      <c r="O76" s="209"/>
      <c r="P76" s="209"/>
      <c r="Q76" s="209"/>
      <c r="R76" s="1"/>
      <c r="S76" s="1"/>
      <c r="T76" s="1"/>
      <c r="U76" s="1"/>
      <c r="V76" s="8"/>
    </row>
    <row r="77" spans="2:22" ht="38.25" customHeight="1" x14ac:dyDescent="0.65">
      <c r="B77" s="277">
        <v>40575</v>
      </c>
      <c r="C77" s="277">
        <v>40633</v>
      </c>
      <c r="D77" s="107"/>
      <c r="E77" s="278">
        <f t="shared" si="12"/>
        <v>2</v>
      </c>
      <c r="F77" s="208"/>
      <c r="G77" s="208"/>
      <c r="H77" s="525"/>
      <c r="I77" s="526"/>
      <c r="J77" s="215"/>
      <c r="K77" s="209"/>
      <c r="L77" s="210"/>
      <c r="M77" s="209"/>
      <c r="N77" s="209"/>
      <c r="O77" s="209"/>
      <c r="P77" s="209"/>
      <c r="Q77" s="209"/>
      <c r="R77" s="1"/>
      <c r="S77" s="1"/>
      <c r="T77" s="1"/>
      <c r="U77" s="1"/>
      <c r="V77" s="8"/>
    </row>
    <row r="78" spans="2:22" ht="11.25" customHeight="1" x14ac:dyDescent="0.65">
      <c r="B78" s="216"/>
      <c r="C78" s="216"/>
      <c r="D78" s="217"/>
      <c r="E78" s="218"/>
      <c r="F78" s="219"/>
      <c r="G78" s="219"/>
      <c r="H78" s="220"/>
      <c r="I78" s="220"/>
      <c r="J78" s="215"/>
      <c r="K78" s="209"/>
      <c r="L78" s="210"/>
      <c r="M78" s="209"/>
      <c r="N78" s="209"/>
      <c r="O78" s="209"/>
      <c r="P78" s="209"/>
      <c r="Q78" s="209"/>
      <c r="R78" s="1"/>
      <c r="S78" s="1"/>
      <c r="T78" s="1"/>
      <c r="U78" s="1"/>
      <c r="V78" s="8"/>
    </row>
    <row r="79" spans="2:22" ht="34.5" customHeight="1" x14ac:dyDescent="0.65">
      <c r="B79" s="276" t="s">
        <v>94</v>
      </c>
      <c r="C79" s="1"/>
      <c r="D79" s="1"/>
      <c r="E79" s="1"/>
      <c r="F79" s="1"/>
      <c r="G79" s="1"/>
      <c r="H79" s="1"/>
      <c r="I79" s="1"/>
      <c r="J79" s="1"/>
      <c r="K79" s="1"/>
      <c r="L79" s="8"/>
      <c r="M79" s="1"/>
      <c r="N79" s="1"/>
      <c r="O79" s="1"/>
      <c r="P79" s="1"/>
      <c r="Q79" s="1"/>
      <c r="R79" s="1"/>
      <c r="S79" s="1"/>
      <c r="T79" s="1"/>
      <c r="U79" s="1"/>
      <c r="V79" s="8"/>
    </row>
    <row r="80" spans="2:22" ht="34.5" customHeight="1" x14ac:dyDescent="0.65">
      <c r="B80" s="276" t="s">
        <v>95</v>
      </c>
      <c r="C80" s="1"/>
      <c r="D80" s="1"/>
      <c r="E80" s="1"/>
      <c r="F80" s="1"/>
      <c r="G80" s="1"/>
      <c r="H80" s="1"/>
      <c r="I80" s="1"/>
      <c r="J80" s="1"/>
      <c r="K80" s="1"/>
      <c r="L80" s="8"/>
      <c r="M80" s="1"/>
      <c r="N80" s="1"/>
      <c r="O80" s="1"/>
      <c r="P80" s="1"/>
      <c r="Q80" s="1"/>
      <c r="R80" s="1"/>
      <c r="S80" s="1"/>
      <c r="T80" s="1"/>
      <c r="U80" s="1"/>
      <c r="V80" s="8"/>
    </row>
    <row r="81" spans="2:22" ht="34.5" customHeight="1" x14ac:dyDescent="0.65">
      <c r="B81" s="276" t="s">
        <v>96</v>
      </c>
      <c r="C81" s="1"/>
      <c r="D81" s="1"/>
      <c r="E81" s="1"/>
      <c r="F81" s="1"/>
      <c r="G81" s="1"/>
      <c r="H81" s="1"/>
      <c r="I81" s="1"/>
      <c r="J81" s="1"/>
      <c r="K81" s="1"/>
      <c r="L81" s="8"/>
      <c r="M81" s="1"/>
      <c r="N81" s="1"/>
      <c r="O81" s="1"/>
      <c r="P81" s="1"/>
      <c r="Q81" s="1"/>
      <c r="R81" s="1"/>
      <c r="S81" s="1"/>
      <c r="T81" s="1"/>
      <c r="U81" s="1"/>
      <c r="V81" s="8"/>
    </row>
    <row r="82" spans="2:22" ht="27.75" customHeight="1" x14ac:dyDescent="0.65">
      <c r="B82" s="207" t="s">
        <v>6</v>
      </c>
      <c r="C82" s="207" t="s">
        <v>7</v>
      </c>
      <c r="D82" s="207"/>
      <c r="E82" s="207" t="s">
        <v>23</v>
      </c>
      <c r="F82" s="208"/>
      <c r="G82" s="208"/>
      <c r="H82" s="457" t="s">
        <v>24</v>
      </c>
      <c r="I82" s="458"/>
      <c r="J82" s="1"/>
      <c r="K82" s="1"/>
      <c r="L82" s="8"/>
      <c r="M82" s="1"/>
      <c r="N82" s="1"/>
      <c r="O82" s="1"/>
      <c r="P82" s="1"/>
      <c r="Q82" s="1"/>
      <c r="R82" s="1"/>
      <c r="S82" s="1"/>
      <c r="T82" s="1"/>
      <c r="U82" s="1"/>
      <c r="V82" s="8"/>
    </row>
    <row r="83" spans="2:22" ht="27" customHeight="1" x14ac:dyDescent="0.65">
      <c r="B83" s="277">
        <v>39600</v>
      </c>
      <c r="C83" s="277">
        <v>39721</v>
      </c>
      <c r="D83" s="107"/>
      <c r="E83" s="278">
        <f t="shared" ref="E83:E93" si="13">IF(B83&gt;0,MONTH(C83-B83),0)</f>
        <v>4</v>
      </c>
      <c r="F83" s="208"/>
      <c r="G83" s="208"/>
      <c r="H83" s="525"/>
      <c r="I83" s="526"/>
      <c r="J83" s="1"/>
      <c r="K83" s="1"/>
      <c r="L83" s="8"/>
      <c r="M83" s="1"/>
      <c r="N83" s="1"/>
      <c r="O83" s="1"/>
      <c r="P83" s="1"/>
      <c r="Q83" s="1"/>
      <c r="R83" s="1"/>
      <c r="S83" s="1"/>
      <c r="T83" s="1"/>
      <c r="U83" s="1"/>
      <c r="V83" s="8"/>
    </row>
    <row r="84" spans="2:22" ht="27" customHeight="1" x14ac:dyDescent="0.65">
      <c r="B84" s="277">
        <v>39722</v>
      </c>
      <c r="C84" s="277">
        <v>39903</v>
      </c>
      <c r="D84" s="107"/>
      <c r="E84" s="278">
        <f t="shared" si="13"/>
        <v>6</v>
      </c>
      <c r="F84" s="208"/>
      <c r="G84" s="208"/>
      <c r="H84" s="525"/>
      <c r="I84" s="526"/>
      <c r="J84" s="1"/>
      <c r="K84" s="1"/>
      <c r="L84" s="8"/>
      <c r="M84" s="1"/>
      <c r="N84" s="1"/>
      <c r="O84" s="1"/>
      <c r="P84" s="1"/>
      <c r="Q84" s="1"/>
      <c r="R84" s="1"/>
      <c r="S84" s="1"/>
      <c r="T84" s="1"/>
      <c r="U84" s="1"/>
      <c r="V84" s="8"/>
    </row>
    <row r="85" spans="2:22" ht="27" customHeight="1" x14ac:dyDescent="0.65">
      <c r="B85" s="277">
        <v>39904</v>
      </c>
      <c r="C85" s="277">
        <v>40086</v>
      </c>
      <c r="D85" s="107"/>
      <c r="E85" s="278">
        <f t="shared" si="13"/>
        <v>6</v>
      </c>
      <c r="F85" s="208"/>
      <c r="G85" s="208"/>
      <c r="H85" s="525"/>
      <c r="I85" s="526"/>
      <c r="J85" s="1"/>
      <c r="K85" s="1"/>
      <c r="L85" s="8"/>
      <c r="M85" s="1"/>
      <c r="N85" s="1"/>
      <c r="O85" s="1"/>
      <c r="P85" s="1"/>
      <c r="Q85" s="1"/>
      <c r="R85" s="1"/>
      <c r="S85" s="1"/>
      <c r="T85" s="1"/>
      <c r="U85" s="1"/>
      <c r="V85" s="8"/>
    </row>
    <row r="86" spans="2:22" ht="27" customHeight="1" x14ac:dyDescent="0.65">
      <c r="B86" s="277">
        <v>40087</v>
      </c>
      <c r="C86" s="277">
        <v>40268</v>
      </c>
      <c r="D86" s="107"/>
      <c r="E86" s="278">
        <f t="shared" si="13"/>
        <v>6</v>
      </c>
      <c r="F86" s="208"/>
      <c r="G86" s="208"/>
      <c r="H86" s="525"/>
      <c r="I86" s="526"/>
      <c r="J86" s="1"/>
      <c r="K86" s="1"/>
      <c r="L86" s="8"/>
      <c r="M86" s="1"/>
      <c r="N86" s="1"/>
      <c r="O86" s="1"/>
      <c r="P86" s="1"/>
      <c r="Q86" s="1"/>
      <c r="R86" s="1"/>
      <c r="S86" s="1"/>
      <c r="T86" s="1"/>
      <c r="U86" s="1"/>
      <c r="V86" s="8"/>
    </row>
    <row r="87" spans="2:22" ht="27" customHeight="1" x14ac:dyDescent="0.65">
      <c r="B87" s="277">
        <v>40269</v>
      </c>
      <c r="C87" s="277">
        <v>40451</v>
      </c>
      <c r="D87" s="107"/>
      <c r="E87" s="278">
        <f t="shared" si="13"/>
        <v>6</v>
      </c>
      <c r="F87" s="208"/>
      <c r="G87" s="208"/>
      <c r="H87" s="525"/>
      <c r="I87" s="526"/>
      <c r="J87" s="1"/>
      <c r="K87" s="1"/>
      <c r="L87" s="8"/>
      <c r="M87" s="1"/>
      <c r="N87" s="1"/>
      <c r="O87" s="1"/>
      <c r="P87" s="1"/>
      <c r="Q87" s="1"/>
      <c r="R87" s="1"/>
      <c r="S87" s="1"/>
      <c r="T87" s="1"/>
      <c r="U87" s="1"/>
      <c r="V87" s="8"/>
    </row>
    <row r="88" spans="2:22" ht="27" customHeight="1" x14ac:dyDescent="0.65">
      <c r="B88" s="277">
        <v>40452</v>
      </c>
      <c r="C88" s="277">
        <v>40633</v>
      </c>
      <c r="D88" s="107"/>
      <c r="E88" s="278">
        <f t="shared" si="13"/>
        <v>6</v>
      </c>
      <c r="F88" s="208"/>
      <c r="G88" s="208"/>
      <c r="H88" s="525"/>
      <c r="I88" s="526"/>
      <c r="J88" s="1"/>
      <c r="K88" s="1"/>
      <c r="L88" s="8"/>
      <c r="M88" s="1"/>
      <c r="N88" s="1"/>
      <c r="O88" s="1"/>
      <c r="P88" s="1"/>
      <c r="Q88" s="1"/>
      <c r="R88" s="1"/>
      <c r="S88" s="1"/>
      <c r="T88" s="1"/>
      <c r="U88" s="1"/>
      <c r="V88" s="8"/>
    </row>
    <row r="89" spans="2:22" ht="27" customHeight="1" x14ac:dyDescent="0.65">
      <c r="B89" s="277">
        <v>40634</v>
      </c>
      <c r="C89" s="277">
        <v>40816</v>
      </c>
      <c r="D89" s="107"/>
      <c r="E89" s="278">
        <f t="shared" si="13"/>
        <v>6</v>
      </c>
      <c r="F89" s="208"/>
      <c r="G89" s="208"/>
      <c r="H89" s="525"/>
      <c r="I89" s="526"/>
      <c r="J89" s="1"/>
      <c r="K89" s="1"/>
      <c r="L89" s="8"/>
      <c r="M89" s="1"/>
      <c r="N89" s="1"/>
      <c r="O89" s="1"/>
      <c r="P89" s="1"/>
      <c r="Q89" s="1"/>
      <c r="R89" s="1"/>
      <c r="S89" s="1"/>
      <c r="T89" s="1"/>
      <c r="U89" s="1"/>
      <c r="V89" s="8"/>
    </row>
    <row r="90" spans="2:22" ht="27" customHeight="1" x14ac:dyDescent="0.65">
      <c r="B90" s="277">
        <v>40817</v>
      </c>
      <c r="C90" s="277">
        <v>40999</v>
      </c>
      <c r="D90" s="107"/>
      <c r="E90" s="278">
        <f t="shared" si="13"/>
        <v>6</v>
      </c>
      <c r="F90" s="208"/>
      <c r="G90" s="208"/>
      <c r="H90" s="525"/>
      <c r="I90" s="526"/>
      <c r="J90" s="1"/>
      <c r="K90" s="1"/>
      <c r="L90" s="8"/>
      <c r="M90" s="1"/>
      <c r="N90" s="1"/>
      <c r="O90" s="1"/>
      <c r="P90" s="1"/>
      <c r="Q90" s="1"/>
      <c r="R90" s="1"/>
      <c r="S90" s="1"/>
      <c r="T90" s="1"/>
      <c r="U90" s="1"/>
      <c r="V90" s="8"/>
    </row>
    <row r="91" spans="2:22" ht="27" customHeight="1" x14ac:dyDescent="0.65">
      <c r="B91" s="277">
        <v>41000</v>
      </c>
      <c r="C91" s="277">
        <v>41182</v>
      </c>
      <c r="D91" s="107"/>
      <c r="E91" s="278">
        <f t="shared" si="13"/>
        <v>6</v>
      </c>
      <c r="F91" s="208"/>
      <c r="G91" s="208"/>
      <c r="H91" s="525"/>
      <c r="I91" s="526"/>
      <c r="J91" s="1"/>
      <c r="K91" s="1"/>
      <c r="L91" s="8"/>
      <c r="M91" s="1"/>
      <c r="N91" s="1"/>
      <c r="O91" s="1"/>
      <c r="P91" s="1"/>
      <c r="Q91" s="1"/>
      <c r="R91" s="1"/>
      <c r="S91" s="1"/>
      <c r="T91" s="1"/>
      <c r="U91" s="1"/>
      <c r="V91" s="8"/>
    </row>
    <row r="92" spans="2:22" ht="27" customHeight="1" x14ac:dyDescent="0.65">
      <c r="B92" s="277">
        <v>41183</v>
      </c>
      <c r="C92" s="277">
        <v>41364</v>
      </c>
      <c r="D92" s="107"/>
      <c r="E92" s="278">
        <f t="shared" si="13"/>
        <v>6</v>
      </c>
      <c r="F92" s="208"/>
      <c r="G92" s="208"/>
      <c r="H92" s="525"/>
      <c r="I92" s="526"/>
      <c r="J92" s="1"/>
      <c r="K92" s="1"/>
      <c r="L92" s="8"/>
      <c r="M92" s="1"/>
      <c r="N92" s="1"/>
      <c r="O92" s="1"/>
      <c r="P92" s="1"/>
      <c r="Q92" s="1"/>
      <c r="R92" s="1"/>
      <c r="S92" s="1"/>
      <c r="T92" s="1"/>
      <c r="U92" s="1"/>
      <c r="V92" s="8"/>
    </row>
    <row r="93" spans="2:22" ht="27" customHeight="1" x14ac:dyDescent="0.65">
      <c r="B93" s="277">
        <v>41365</v>
      </c>
      <c r="C93" s="277">
        <v>41425</v>
      </c>
      <c r="D93" s="107"/>
      <c r="E93" s="278">
        <f t="shared" si="13"/>
        <v>2</v>
      </c>
      <c r="F93" s="208"/>
      <c r="G93" s="208"/>
      <c r="H93" s="525"/>
      <c r="I93" s="526"/>
      <c r="J93" s="1"/>
      <c r="K93" s="1"/>
      <c r="L93" s="8"/>
      <c r="M93" s="1"/>
      <c r="N93" s="1"/>
      <c r="O93" s="1"/>
      <c r="P93" s="1"/>
      <c r="Q93" s="1"/>
      <c r="R93" s="1"/>
      <c r="S93" s="1"/>
      <c r="T93" s="1"/>
      <c r="U93" s="1"/>
      <c r="V93" s="8"/>
    </row>
    <row r="94" spans="2:22" ht="21.75" customHeight="1" x14ac:dyDescent="0.2">
      <c r="B94" s="1"/>
      <c r="C94" s="279" t="s">
        <v>68</v>
      </c>
      <c r="D94" s="280"/>
      <c r="E94" s="224">
        <f>SUM(E83:E93)</f>
        <v>60</v>
      </c>
      <c r="F94" s="1"/>
      <c r="G94" s="1"/>
      <c r="H94" s="1"/>
      <c r="I94" s="1"/>
      <c r="J94" s="1"/>
      <c r="K94" s="1"/>
      <c r="L94" s="8"/>
      <c r="M94" s="1"/>
      <c r="N94" s="1"/>
      <c r="O94" s="1"/>
      <c r="P94" s="1"/>
      <c r="Q94" s="1"/>
      <c r="R94" s="1"/>
      <c r="S94" s="1"/>
      <c r="T94" s="1"/>
      <c r="U94" s="1"/>
      <c r="V94" s="8"/>
    </row>
    <row r="95" spans="2:22" ht="20.2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8"/>
      <c r="M95" s="1"/>
      <c r="N95" s="1"/>
      <c r="O95" s="1"/>
      <c r="P95" s="1"/>
      <c r="Q95" s="1"/>
      <c r="R95" s="1"/>
      <c r="S95" s="1"/>
      <c r="T95" s="1"/>
      <c r="U95" s="1"/>
      <c r="V95" s="8"/>
    </row>
    <row r="96" spans="2:22" ht="34.5" customHeight="1" x14ac:dyDescent="0.65">
      <c r="B96" s="276" t="s">
        <v>97</v>
      </c>
      <c r="C96" s="1"/>
      <c r="D96" s="1"/>
      <c r="E96" s="1"/>
      <c r="F96" s="1"/>
      <c r="G96" s="1"/>
      <c r="H96" s="1"/>
      <c r="I96" s="1"/>
      <c r="J96" s="1"/>
      <c r="K96" s="1"/>
      <c r="L96" s="8"/>
      <c r="M96" s="1"/>
      <c r="N96" s="1"/>
      <c r="O96" s="1"/>
      <c r="P96" s="1"/>
      <c r="Q96" s="1"/>
      <c r="R96" s="1"/>
      <c r="S96" s="1"/>
      <c r="T96" s="1"/>
      <c r="U96" s="1"/>
      <c r="V96" s="8"/>
    </row>
    <row r="97" spans="2:22" ht="34.5" customHeight="1" x14ac:dyDescent="0.65">
      <c r="B97" s="276" t="s">
        <v>70</v>
      </c>
      <c r="C97" s="1"/>
      <c r="D97" s="1"/>
      <c r="E97" s="1"/>
      <c r="F97" s="1"/>
      <c r="G97" s="1"/>
      <c r="H97" s="1"/>
      <c r="I97" s="1"/>
      <c r="J97" s="1"/>
      <c r="K97" s="1"/>
      <c r="L97" s="8"/>
      <c r="M97" s="1"/>
      <c r="N97" s="1"/>
      <c r="O97" s="1"/>
      <c r="P97" s="1"/>
      <c r="Q97" s="1"/>
      <c r="R97" s="1"/>
      <c r="S97" s="1"/>
      <c r="T97" s="1"/>
      <c r="U97" s="1"/>
      <c r="V97" s="8"/>
    </row>
    <row r="98" spans="2:22" ht="34.5" customHeight="1" x14ac:dyDescent="0.65">
      <c r="B98" s="276" t="s">
        <v>71</v>
      </c>
      <c r="C98" s="1"/>
      <c r="D98" s="1"/>
      <c r="E98" s="1"/>
      <c r="F98" s="1"/>
      <c r="G98" s="1"/>
      <c r="H98" s="1"/>
      <c r="I98" s="1"/>
      <c r="J98" s="1"/>
      <c r="K98" s="1"/>
      <c r="L98" s="8"/>
      <c r="M98" s="1"/>
      <c r="N98" s="1"/>
      <c r="O98" s="1"/>
      <c r="P98" s="1"/>
      <c r="Q98" s="1"/>
      <c r="R98" s="1"/>
      <c r="S98" s="1"/>
      <c r="T98" s="1"/>
      <c r="U98" s="1"/>
      <c r="V98" s="8"/>
    </row>
    <row r="99" spans="2:22" ht="14.2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8"/>
      <c r="M99" s="1"/>
      <c r="N99" s="1"/>
      <c r="O99" s="1"/>
      <c r="P99" s="1"/>
      <c r="Q99" s="1"/>
      <c r="R99" s="1"/>
      <c r="S99" s="1"/>
      <c r="T99" s="1"/>
      <c r="U99" s="1"/>
      <c r="V99" s="8"/>
    </row>
    <row r="100" spans="2:22" ht="24.75" customHeight="1" x14ac:dyDescent="0.65">
      <c r="B100" s="207" t="s">
        <v>6</v>
      </c>
      <c r="C100" s="207" t="s">
        <v>7</v>
      </c>
      <c r="D100" s="207"/>
      <c r="E100" s="207" t="s">
        <v>23</v>
      </c>
      <c r="F100" s="208"/>
      <c r="G100" s="208"/>
      <c r="H100" s="457" t="s">
        <v>24</v>
      </c>
      <c r="I100" s="458"/>
      <c r="J100" s="1"/>
      <c r="K100" s="1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8"/>
    </row>
    <row r="101" spans="2:22" ht="27" customHeight="1" x14ac:dyDescent="0.65">
      <c r="B101" s="281">
        <v>39569</v>
      </c>
      <c r="C101" s="281">
        <v>39721</v>
      </c>
      <c r="D101" s="282"/>
      <c r="E101" s="278">
        <f t="shared" ref="E101:E111" si="14">IF(B101&gt;0,MONTH(C101-B101),0)</f>
        <v>5</v>
      </c>
      <c r="F101" s="283"/>
      <c r="G101" s="283"/>
      <c r="H101" s="525"/>
      <c r="I101" s="526"/>
      <c r="J101" s="1"/>
      <c r="K101" s="1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8"/>
    </row>
    <row r="102" spans="2:22" ht="27" customHeight="1" x14ac:dyDescent="0.65">
      <c r="B102" s="281">
        <v>39722</v>
      </c>
      <c r="C102" s="281">
        <v>39903</v>
      </c>
      <c r="D102" s="282"/>
      <c r="E102" s="278">
        <f t="shared" si="14"/>
        <v>6</v>
      </c>
      <c r="F102" s="283"/>
      <c r="G102" s="283"/>
      <c r="H102" s="525"/>
      <c r="I102" s="526"/>
      <c r="J102" s="1"/>
      <c r="K102" s="1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8"/>
    </row>
    <row r="103" spans="2:22" ht="27" customHeight="1" x14ac:dyDescent="0.65">
      <c r="B103" s="281">
        <v>39904</v>
      </c>
      <c r="C103" s="281">
        <v>40086</v>
      </c>
      <c r="D103" s="282"/>
      <c r="E103" s="278">
        <f t="shared" si="14"/>
        <v>6</v>
      </c>
      <c r="F103" s="283"/>
      <c r="G103" s="283"/>
      <c r="H103" s="525"/>
      <c r="I103" s="526"/>
      <c r="J103" s="1"/>
      <c r="K103" s="1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8"/>
    </row>
    <row r="104" spans="2:22" ht="27" customHeight="1" x14ac:dyDescent="0.65">
      <c r="B104" s="281">
        <v>40087</v>
      </c>
      <c r="C104" s="281">
        <v>40268</v>
      </c>
      <c r="D104" s="282"/>
      <c r="E104" s="278">
        <f t="shared" si="14"/>
        <v>6</v>
      </c>
      <c r="F104" s="283"/>
      <c r="G104" s="283"/>
      <c r="H104" s="525"/>
      <c r="I104" s="526"/>
      <c r="J104" s="1"/>
      <c r="K104" s="1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8"/>
    </row>
    <row r="105" spans="2:22" ht="27" customHeight="1" x14ac:dyDescent="0.65">
      <c r="B105" s="281">
        <v>40269</v>
      </c>
      <c r="C105" s="281">
        <v>40451</v>
      </c>
      <c r="D105" s="282"/>
      <c r="E105" s="278">
        <f t="shared" si="14"/>
        <v>6</v>
      </c>
      <c r="F105" s="283"/>
      <c r="G105" s="283"/>
      <c r="H105" s="525"/>
      <c r="I105" s="526"/>
      <c r="J105" s="1"/>
      <c r="K105" s="1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8"/>
    </row>
    <row r="106" spans="2:22" ht="27" customHeight="1" x14ac:dyDescent="0.65">
      <c r="B106" s="281">
        <v>40452</v>
      </c>
      <c r="C106" s="281">
        <v>40633</v>
      </c>
      <c r="D106" s="282"/>
      <c r="E106" s="278">
        <f t="shared" si="14"/>
        <v>6</v>
      </c>
      <c r="F106" s="283"/>
      <c r="G106" s="283"/>
      <c r="H106" s="525"/>
      <c r="I106" s="526"/>
      <c r="J106" s="1"/>
      <c r="K106" s="1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8"/>
    </row>
    <row r="107" spans="2:22" ht="27" customHeight="1" x14ac:dyDescent="0.65">
      <c r="B107" s="281">
        <v>40634</v>
      </c>
      <c r="C107" s="281">
        <v>40816</v>
      </c>
      <c r="D107" s="282"/>
      <c r="E107" s="278">
        <f t="shared" si="14"/>
        <v>6</v>
      </c>
      <c r="F107" s="283"/>
      <c r="G107" s="283"/>
      <c r="H107" s="525"/>
      <c r="I107" s="526"/>
      <c r="J107" s="1"/>
      <c r="K107" s="1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8"/>
    </row>
    <row r="108" spans="2:22" ht="27" customHeight="1" x14ac:dyDescent="0.65">
      <c r="B108" s="281">
        <v>40817</v>
      </c>
      <c r="C108" s="281">
        <v>40999</v>
      </c>
      <c r="D108" s="282"/>
      <c r="E108" s="278">
        <f t="shared" si="14"/>
        <v>6</v>
      </c>
      <c r="F108" s="283"/>
      <c r="G108" s="283"/>
      <c r="H108" s="525"/>
      <c r="I108" s="526"/>
      <c r="J108" s="1"/>
      <c r="K108" s="1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8"/>
    </row>
    <row r="109" spans="2:22" ht="27" customHeight="1" x14ac:dyDescent="0.65">
      <c r="B109" s="281">
        <v>41000</v>
      </c>
      <c r="C109" s="281">
        <v>41182</v>
      </c>
      <c r="D109" s="282"/>
      <c r="E109" s="278">
        <f t="shared" si="14"/>
        <v>6</v>
      </c>
      <c r="F109" s="283"/>
      <c r="G109" s="283"/>
      <c r="H109" s="525"/>
      <c r="I109" s="526"/>
      <c r="J109" s="1"/>
      <c r="K109" s="1"/>
      <c r="L109" s="8"/>
      <c r="M109" s="1"/>
      <c r="N109" s="1"/>
      <c r="O109" s="1"/>
      <c r="P109" s="1"/>
      <c r="Q109" s="1"/>
      <c r="R109" s="1"/>
      <c r="S109" s="1"/>
      <c r="T109" s="1"/>
      <c r="U109" s="1"/>
      <c r="V109" s="8"/>
    </row>
    <row r="110" spans="2:22" ht="27" customHeight="1" x14ac:dyDescent="0.65">
      <c r="B110" s="281">
        <v>41183</v>
      </c>
      <c r="C110" s="281">
        <v>41364</v>
      </c>
      <c r="D110" s="282"/>
      <c r="E110" s="278">
        <f t="shared" si="14"/>
        <v>6</v>
      </c>
      <c r="F110" s="283"/>
      <c r="G110" s="283"/>
      <c r="H110" s="525"/>
      <c r="I110" s="526"/>
      <c r="J110" s="1"/>
      <c r="K110" s="1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8"/>
    </row>
    <row r="111" spans="2:22" ht="27" customHeight="1" x14ac:dyDescent="0.65">
      <c r="B111" s="281">
        <v>41365</v>
      </c>
      <c r="C111" s="281">
        <v>41394</v>
      </c>
      <c r="D111" s="282"/>
      <c r="E111" s="278">
        <f t="shared" si="14"/>
        <v>1</v>
      </c>
      <c r="F111" s="283"/>
      <c r="G111" s="283"/>
      <c r="H111" s="525"/>
      <c r="I111" s="526"/>
      <c r="J111" s="1"/>
      <c r="K111" s="1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8"/>
    </row>
    <row r="112" spans="2:22" ht="29.25" customHeight="1" x14ac:dyDescent="0.2">
      <c r="B112" s="1"/>
      <c r="C112" s="279" t="s">
        <v>68</v>
      </c>
      <c r="D112" s="280"/>
      <c r="E112" s="224">
        <f>SUM(E101:E111)</f>
        <v>60</v>
      </c>
      <c r="F112" s="1"/>
      <c r="G112" s="1"/>
      <c r="H112" s="1"/>
      <c r="I112" s="1"/>
      <c r="J112" s="1"/>
      <c r="K112" s="1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8"/>
    </row>
    <row r="113" spans="2:22" ht="19.5" customHeight="1" x14ac:dyDescent="0.2">
      <c r="B113" s="1"/>
      <c r="C113" s="284"/>
      <c r="D113" s="104"/>
      <c r="E113" s="230"/>
      <c r="F113" s="1"/>
      <c r="G113" s="1"/>
      <c r="H113" s="1"/>
      <c r="I113" s="1"/>
      <c r="J113" s="1"/>
      <c r="K113" s="1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8"/>
    </row>
    <row r="114" spans="2:22" ht="29.25" customHeight="1" x14ac:dyDescent="0.65">
      <c r="B114" s="276" t="s">
        <v>98</v>
      </c>
      <c r="C114" s="228"/>
      <c r="D114" s="229"/>
      <c r="E114" s="230"/>
      <c r="F114" s="221"/>
      <c r="G114" s="221"/>
      <c r="H114" s="221"/>
      <c r="I114" s="221"/>
      <c r="J114" s="1"/>
      <c r="K114" s="1"/>
      <c r="L114" s="8"/>
      <c r="M114" s="1"/>
      <c r="N114" s="1"/>
      <c r="O114" s="1"/>
      <c r="P114" s="1"/>
      <c r="Q114" s="1"/>
      <c r="R114" s="1"/>
      <c r="S114" s="1"/>
      <c r="T114" s="1"/>
      <c r="U114" s="1"/>
      <c r="V114" s="8"/>
    </row>
    <row r="115" spans="2:22" ht="29.25" customHeight="1" x14ac:dyDescent="0.65">
      <c r="B115" s="276" t="s">
        <v>73</v>
      </c>
      <c r="C115" s="228"/>
      <c r="D115" s="229"/>
      <c r="E115" s="230"/>
      <c r="F115" s="221"/>
      <c r="G115" s="221"/>
      <c r="H115" s="221"/>
      <c r="I115" s="221"/>
      <c r="J115" s="1"/>
      <c r="K115" s="1"/>
      <c r="L115" s="8"/>
      <c r="M115" s="1"/>
      <c r="N115" s="1"/>
      <c r="O115" s="1"/>
      <c r="P115" s="1"/>
      <c r="Q115" s="1"/>
      <c r="R115" s="1"/>
      <c r="S115" s="1"/>
      <c r="T115" s="1"/>
      <c r="U115" s="1"/>
      <c r="V115" s="8"/>
    </row>
    <row r="116" spans="2:22" ht="29.25" customHeight="1" x14ac:dyDescent="0.65">
      <c r="B116" s="276" t="s">
        <v>74</v>
      </c>
      <c r="C116" s="228"/>
      <c r="D116" s="229"/>
      <c r="E116" s="230"/>
      <c r="F116" s="221"/>
      <c r="G116" s="221"/>
      <c r="H116" s="221"/>
      <c r="I116" s="221"/>
      <c r="J116" s="1"/>
      <c r="K116" s="1"/>
      <c r="L116" s="8"/>
      <c r="M116" s="1"/>
      <c r="N116" s="1"/>
      <c r="O116" s="1"/>
      <c r="P116" s="1"/>
      <c r="Q116" s="1"/>
      <c r="R116" s="1"/>
      <c r="S116" s="1"/>
      <c r="T116" s="1"/>
      <c r="U116" s="1"/>
      <c r="V116" s="8"/>
    </row>
    <row r="117" spans="2:22" ht="29.25" customHeight="1" x14ac:dyDescent="0.65">
      <c r="B117" s="276" t="s">
        <v>75</v>
      </c>
      <c r="C117" s="228"/>
      <c r="D117" s="229"/>
      <c r="E117" s="230"/>
      <c r="F117" s="221"/>
      <c r="G117" s="221"/>
      <c r="H117" s="221"/>
      <c r="I117" s="221"/>
      <c r="J117" s="1"/>
      <c r="K117" s="1"/>
      <c r="L117" s="8"/>
      <c r="M117" s="1"/>
      <c r="N117" s="1"/>
      <c r="O117" s="1"/>
      <c r="P117" s="1"/>
      <c r="Q117" s="1"/>
      <c r="R117" s="1"/>
      <c r="S117" s="1"/>
      <c r="T117" s="1"/>
      <c r="U117" s="1"/>
      <c r="V117" s="8"/>
    </row>
    <row r="118" spans="2:22" ht="16.5" customHeight="1" x14ac:dyDescent="0.2">
      <c r="B118" s="221"/>
      <c r="C118" s="228"/>
      <c r="D118" s="229"/>
      <c r="E118" s="230"/>
      <c r="F118" s="221"/>
      <c r="G118" s="221"/>
      <c r="H118" s="221"/>
      <c r="I118" s="221"/>
      <c r="J118" s="1"/>
      <c r="K118" s="1"/>
      <c r="L118" s="8"/>
      <c r="M118" s="1"/>
      <c r="N118" s="1"/>
      <c r="O118" s="1"/>
      <c r="P118" s="1"/>
      <c r="Q118" s="1"/>
      <c r="R118" s="1"/>
      <c r="S118" s="1"/>
      <c r="T118" s="1"/>
      <c r="U118" s="1"/>
      <c r="V118" s="8"/>
    </row>
    <row r="119" spans="2:22" ht="29.25" customHeight="1" x14ac:dyDescent="0.65">
      <c r="B119" s="207" t="s">
        <v>6</v>
      </c>
      <c r="C119" s="207" t="s">
        <v>7</v>
      </c>
      <c r="D119" s="207"/>
      <c r="E119" s="207" t="s">
        <v>23</v>
      </c>
      <c r="F119" s="208"/>
      <c r="G119" s="208"/>
      <c r="H119" s="457" t="s">
        <v>24</v>
      </c>
      <c r="I119" s="458"/>
      <c r="J119" s="1"/>
      <c r="K119" s="1"/>
      <c r="L119" s="8"/>
      <c r="M119" s="1"/>
      <c r="N119" s="1"/>
      <c r="O119" s="1"/>
      <c r="P119" s="1"/>
      <c r="Q119" s="1"/>
      <c r="R119" s="1"/>
      <c r="S119" s="1"/>
      <c r="T119" s="1"/>
      <c r="U119" s="1"/>
      <c r="V119" s="8"/>
    </row>
    <row r="120" spans="2:22" ht="26.25" customHeight="1" x14ac:dyDescent="0.35">
      <c r="B120" s="225">
        <v>39569</v>
      </c>
      <c r="C120" s="225">
        <v>39721</v>
      </c>
      <c r="D120" s="226"/>
      <c r="E120" s="213">
        <f t="shared" ref="E120:E131" si="15">IF(B120&gt;0,MONTH(C120-B120),0)</f>
        <v>5</v>
      </c>
      <c r="F120" s="227"/>
      <c r="G120" s="227"/>
      <c r="H120" s="455">
        <v>19080</v>
      </c>
      <c r="I120" s="456"/>
      <c r="J120" s="1"/>
      <c r="K120" s="1"/>
      <c r="L120" s="8"/>
      <c r="M120" s="1"/>
      <c r="N120" s="1"/>
      <c r="O120" s="1"/>
      <c r="P120" s="1"/>
      <c r="Q120" s="1"/>
      <c r="R120" s="1"/>
      <c r="S120" s="1"/>
      <c r="T120" s="1"/>
      <c r="U120" s="1"/>
      <c r="V120" s="8"/>
    </row>
    <row r="121" spans="2:22" ht="26.25" customHeight="1" x14ac:dyDescent="0.35">
      <c r="B121" s="225">
        <v>39722</v>
      </c>
      <c r="C121" s="225">
        <v>39903</v>
      </c>
      <c r="D121" s="226"/>
      <c r="E121" s="213">
        <f t="shared" si="15"/>
        <v>6</v>
      </c>
      <c r="F121" s="227"/>
      <c r="G121" s="227"/>
      <c r="H121" s="455">
        <v>19720</v>
      </c>
      <c r="I121" s="456"/>
      <c r="J121" s="1"/>
      <c r="K121" s="1"/>
      <c r="L121" s="8"/>
      <c r="M121" s="1"/>
      <c r="N121" s="1"/>
      <c r="O121" s="1"/>
      <c r="P121" s="1"/>
      <c r="Q121" s="1"/>
      <c r="R121" s="1"/>
      <c r="S121" s="1"/>
      <c r="T121" s="1"/>
      <c r="U121" s="1"/>
      <c r="V121" s="8"/>
    </row>
    <row r="122" spans="2:22" ht="26.25" customHeight="1" x14ac:dyDescent="0.35">
      <c r="B122" s="225">
        <v>39904</v>
      </c>
      <c r="C122" s="225">
        <v>40086</v>
      </c>
      <c r="D122" s="226"/>
      <c r="E122" s="213">
        <f t="shared" si="15"/>
        <v>6</v>
      </c>
      <c r="F122" s="227"/>
      <c r="G122" s="227"/>
      <c r="H122" s="455">
        <v>21980</v>
      </c>
      <c r="I122" s="456"/>
      <c r="J122" s="1"/>
      <c r="K122" s="1"/>
      <c r="L122" s="8"/>
      <c r="M122" s="1"/>
      <c r="N122" s="1"/>
      <c r="O122" s="1"/>
      <c r="P122" s="1"/>
      <c r="Q122" s="1"/>
      <c r="R122" s="1"/>
      <c r="S122" s="1"/>
      <c r="T122" s="1"/>
      <c r="U122" s="1"/>
      <c r="V122" s="8"/>
    </row>
    <row r="123" spans="2:22" ht="26.25" customHeight="1" x14ac:dyDescent="0.35">
      <c r="B123" s="225">
        <v>40087</v>
      </c>
      <c r="C123" s="225">
        <v>40178</v>
      </c>
      <c r="D123" s="226"/>
      <c r="E123" s="213">
        <f t="shared" si="15"/>
        <v>3</v>
      </c>
      <c r="F123" s="227"/>
      <c r="G123" s="227"/>
      <c r="H123" s="455">
        <v>22420</v>
      </c>
      <c r="I123" s="456"/>
      <c r="J123" s="1"/>
      <c r="K123" s="1"/>
      <c r="L123" s="8"/>
      <c r="M123" s="1"/>
      <c r="N123" s="1"/>
      <c r="O123" s="1"/>
      <c r="P123" s="1"/>
      <c r="Q123" s="1"/>
      <c r="R123" s="1"/>
      <c r="S123" s="1"/>
      <c r="T123" s="1"/>
      <c r="U123" s="1"/>
      <c r="V123" s="8"/>
    </row>
    <row r="124" spans="2:22" ht="26.25" customHeight="1" x14ac:dyDescent="0.35">
      <c r="B124" s="225">
        <v>40179</v>
      </c>
      <c r="C124" s="225">
        <v>40268</v>
      </c>
      <c r="D124" s="226"/>
      <c r="E124" s="213">
        <f t="shared" si="15"/>
        <v>3</v>
      </c>
      <c r="F124" s="227"/>
      <c r="G124" s="227"/>
      <c r="H124" s="455">
        <v>22840</v>
      </c>
      <c r="I124" s="456"/>
      <c r="J124" s="1"/>
      <c r="K124" s="1"/>
      <c r="L124" s="8"/>
      <c r="M124" s="1"/>
      <c r="N124" s="1"/>
      <c r="O124" s="1"/>
      <c r="P124" s="1"/>
      <c r="Q124" s="1"/>
      <c r="R124" s="1"/>
      <c r="S124" s="1"/>
      <c r="T124" s="1"/>
      <c r="U124" s="1"/>
      <c r="V124" s="8"/>
    </row>
    <row r="125" spans="2:22" ht="26.25" customHeight="1" x14ac:dyDescent="0.35">
      <c r="B125" s="225">
        <v>40269</v>
      </c>
      <c r="C125" s="225">
        <v>40451</v>
      </c>
      <c r="D125" s="226"/>
      <c r="E125" s="213">
        <f t="shared" si="15"/>
        <v>6</v>
      </c>
      <c r="F125" s="227"/>
      <c r="G125" s="227"/>
      <c r="H125" s="455">
        <v>23180</v>
      </c>
      <c r="I125" s="456"/>
      <c r="J125" s="1"/>
      <c r="K125" s="1"/>
      <c r="L125" s="8"/>
      <c r="M125" s="1"/>
      <c r="N125" s="1"/>
      <c r="O125" s="1"/>
      <c r="P125" s="1"/>
      <c r="Q125" s="1"/>
      <c r="R125" s="1"/>
      <c r="S125" s="1"/>
      <c r="T125" s="1"/>
      <c r="U125" s="1"/>
      <c r="V125" s="8"/>
    </row>
    <row r="126" spans="2:22" ht="26.25" customHeight="1" x14ac:dyDescent="0.35">
      <c r="B126" s="225">
        <v>40452</v>
      </c>
      <c r="C126" s="225">
        <v>40633</v>
      </c>
      <c r="D126" s="226"/>
      <c r="E126" s="213">
        <f t="shared" si="15"/>
        <v>6</v>
      </c>
      <c r="F126" s="227"/>
      <c r="G126" s="227"/>
      <c r="H126" s="455"/>
      <c r="I126" s="456"/>
      <c r="J126" s="1"/>
      <c r="K126" s="1"/>
      <c r="L126" s="8"/>
      <c r="M126" s="1"/>
      <c r="N126" s="1"/>
      <c r="O126" s="1"/>
      <c r="P126" s="1"/>
      <c r="Q126" s="1"/>
      <c r="R126" s="1"/>
      <c r="S126" s="1"/>
      <c r="T126" s="1"/>
      <c r="U126" s="1"/>
      <c r="V126" s="8"/>
    </row>
    <row r="127" spans="2:22" ht="26.25" customHeight="1" x14ac:dyDescent="0.35">
      <c r="B127" s="225">
        <v>40634</v>
      </c>
      <c r="C127" s="225">
        <v>40816</v>
      </c>
      <c r="D127" s="226"/>
      <c r="E127" s="213">
        <f t="shared" si="15"/>
        <v>6</v>
      </c>
      <c r="F127" s="227"/>
      <c r="G127" s="227"/>
      <c r="H127" s="455"/>
      <c r="I127" s="456"/>
      <c r="J127" s="1"/>
      <c r="K127" s="1"/>
      <c r="L127" s="8"/>
      <c r="M127" s="1"/>
      <c r="N127" s="1"/>
      <c r="O127" s="1"/>
      <c r="P127" s="1"/>
      <c r="Q127" s="1"/>
      <c r="R127" s="1"/>
      <c r="S127" s="1"/>
      <c r="T127" s="1"/>
      <c r="U127" s="1"/>
      <c r="V127" s="8"/>
    </row>
    <row r="128" spans="2:22" ht="26.25" customHeight="1" x14ac:dyDescent="0.35">
      <c r="B128" s="225">
        <v>40817</v>
      </c>
      <c r="C128" s="225">
        <v>40999</v>
      </c>
      <c r="D128" s="226"/>
      <c r="E128" s="213">
        <f t="shared" si="15"/>
        <v>6</v>
      </c>
      <c r="F128" s="227"/>
      <c r="G128" s="227"/>
      <c r="H128" s="455"/>
      <c r="I128" s="456"/>
      <c r="J128" s="1"/>
      <c r="K128" s="1"/>
      <c r="L128" s="8"/>
      <c r="M128" s="1"/>
      <c r="N128" s="1"/>
      <c r="O128" s="1"/>
      <c r="P128" s="1"/>
      <c r="Q128" s="1"/>
      <c r="R128" s="1"/>
      <c r="S128" s="1"/>
      <c r="T128" s="1"/>
      <c r="U128" s="1"/>
      <c r="V128" s="8"/>
    </row>
    <row r="129" spans="2:22" ht="26.25" customHeight="1" x14ac:dyDescent="0.35">
      <c r="B129" s="225">
        <v>41000</v>
      </c>
      <c r="C129" s="225">
        <v>41182</v>
      </c>
      <c r="D129" s="226"/>
      <c r="E129" s="213">
        <f t="shared" si="15"/>
        <v>6</v>
      </c>
      <c r="F129" s="227"/>
      <c r="G129" s="227"/>
      <c r="H129" s="455"/>
      <c r="I129" s="456"/>
      <c r="J129" s="1"/>
      <c r="K129" s="1"/>
      <c r="L129" s="8"/>
      <c r="M129" s="1"/>
      <c r="N129" s="1"/>
      <c r="O129" s="1"/>
      <c r="P129" s="1"/>
      <c r="Q129" s="1"/>
      <c r="R129" s="1"/>
      <c r="S129" s="1"/>
      <c r="T129" s="1"/>
      <c r="U129" s="1"/>
      <c r="V129" s="8"/>
    </row>
    <row r="130" spans="2:22" ht="26.25" customHeight="1" x14ac:dyDescent="0.35">
      <c r="B130" s="225">
        <v>41183</v>
      </c>
      <c r="C130" s="225">
        <v>41364</v>
      </c>
      <c r="D130" s="226"/>
      <c r="E130" s="213">
        <f t="shared" si="15"/>
        <v>6</v>
      </c>
      <c r="F130" s="227"/>
      <c r="G130" s="227"/>
      <c r="H130" s="455"/>
      <c r="I130" s="456"/>
      <c r="J130" s="1"/>
      <c r="K130" s="1"/>
      <c r="L130" s="8"/>
      <c r="M130" s="1"/>
      <c r="N130" s="1"/>
      <c r="O130" s="1"/>
      <c r="P130" s="1"/>
      <c r="Q130" s="1"/>
      <c r="R130" s="1"/>
      <c r="S130" s="1"/>
      <c r="T130" s="1"/>
      <c r="U130" s="1"/>
      <c r="V130" s="8"/>
    </row>
    <row r="131" spans="2:22" ht="26.25" customHeight="1" x14ac:dyDescent="0.35">
      <c r="B131" s="225">
        <v>41365</v>
      </c>
      <c r="C131" s="225">
        <v>41394</v>
      </c>
      <c r="D131" s="226"/>
      <c r="E131" s="213">
        <f t="shared" si="15"/>
        <v>1</v>
      </c>
      <c r="F131" s="227"/>
      <c r="G131" s="227"/>
      <c r="H131" s="455"/>
      <c r="I131" s="456"/>
      <c r="J131" s="1"/>
      <c r="K131" s="1"/>
      <c r="L131" s="8"/>
      <c r="M131" s="1"/>
      <c r="N131" s="1"/>
      <c r="O131" s="1"/>
      <c r="P131" s="1"/>
      <c r="Q131" s="1"/>
      <c r="R131" s="1"/>
      <c r="S131" s="1"/>
      <c r="T131" s="1"/>
      <c r="U131" s="1"/>
      <c r="V131" s="8"/>
    </row>
    <row r="132" spans="2:22" ht="22.5" customHeight="1" x14ac:dyDescent="0.2">
      <c r="B132" s="221"/>
      <c r="C132" s="222" t="s">
        <v>68</v>
      </c>
      <c r="D132" s="223"/>
      <c r="E132" s="224">
        <f>SUM(E120:E131)</f>
        <v>60</v>
      </c>
      <c r="F132" s="221"/>
      <c r="G132" s="221"/>
      <c r="H132" s="221"/>
      <c r="I132" s="221"/>
      <c r="J132" s="1"/>
      <c r="K132" s="1"/>
      <c r="L132" s="8"/>
      <c r="M132" s="1"/>
      <c r="N132" s="1"/>
      <c r="O132" s="1"/>
      <c r="P132" s="1"/>
      <c r="Q132" s="1"/>
      <c r="R132" s="1"/>
      <c r="S132" s="1"/>
      <c r="T132" s="1"/>
      <c r="U132" s="1"/>
      <c r="V132" s="8"/>
    </row>
    <row r="133" spans="2:22" ht="20.2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8"/>
      <c r="M133" s="1"/>
      <c r="N133" s="1"/>
      <c r="O133" s="1"/>
      <c r="P133" s="1"/>
      <c r="Q133" s="1"/>
      <c r="R133" s="1"/>
      <c r="S133" s="1"/>
      <c r="T133" s="1"/>
      <c r="U133" s="1"/>
      <c r="V133" s="8"/>
    </row>
    <row r="134" spans="2:22" ht="30.75" customHeight="1" x14ac:dyDescent="0.65">
      <c r="B134" s="276" t="s">
        <v>171</v>
      </c>
      <c r="C134" s="1"/>
      <c r="D134" s="1"/>
      <c r="E134" s="1"/>
      <c r="F134" s="1"/>
      <c r="G134" s="1"/>
      <c r="H134" s="1"/>
      <c r="I134" s="1"/>
      <c r="J134" s="1"/>
      <c r="K134" s="1"/>
      <c r="L134" s="8"/>
      <c r="M134" s="1"/>
      <c r="N134" s="1"/>
      <c r="O134" s="1"/>
      <c r="P134" s="1"/>
      <c r="Q134" s="1"/>
      <c r="R134" s="1"/>
      <c r="S134" s="1"/>
      <c r="T134" s="1"/>
      <c r="U134" s="1"/>
      <c r="V134" s="8"/>
    </row>
    <row r="135" spans="2:22" ht="30.75" customHeight="1" x14ac:dyDescent="0.65">
      <c r="B135" s="276" t="s">
        <v>172</v>
      </c>
      <c r="C135" s="1"/>
      <c r="D135" s="1"/>
      <c r="E135" s="1"/>
      <c r="F135" s="1"/>
      <c r="G135" s="1"/>
      <c r="H135" s="1"/>
      <c r="I135" s="1"/>
      <c r="J135" s="1"/>
      <c r="K135" s="1"/>
      <c r="L135" s="8"/>
      <c r="M135" s="1"/>
      <c r="N135" s="1"/>
      <c r="O135" s="1"/>
      <c r="P135" s="1"/>
      <c r="Q135" s="1"/>
      <c r="R135" s="1"/>
      <c r="S135" s="1"/>
      <c r="T135" s="1"/>
      <c r="U135" s="1"/>
      <c r="V135" s="8"/>
    </row>
    <row r="136" spans="2:22" ht="30.75" customHeight="1" x14ac:dyDescent="0.65">
      <c r="B136" s="276" t="s">
        <v>181</v>
      </c>
      <c r="C136" s="356"/>
      <c r="D136" s="1"/>
      <c r="E136" s="1"/>
      <c r="F136" s="1"/>
      <c r="G136" s="1"/>
      <c r="H136" s="1"/>
      <c r="I136" s="1"/>
      <c r="J136" s="1"/>
      <c r="K136" s="1"/>
      <c r="L136" s="8"/>
      <c r="M136" s="1"/>
      <c r="N136" s="1"/>
      <c r="O136" s="1"/>
      <c r="P136" s="1"/>
      <c r="Q136" s="1"/>
      <c r="R136" s="1"/>
      <c r="S136" s="1"/>
      <c r="T136" s="1"/>
      <c r="U136" s="1"/>
      <c r="V136" s="8"/>
    </row>
    <row r="137" spans="2:22" ht="30.75" customHeight="1" x14ac:dyDescent="0.65">
      <c r="B137" s="276" t="s">
        <v>178</v>
      </c>
      <c r="C137" s="356"/>
      <c r="D137" s="1"/>
      <c r="E137" s="1"/>
      <c r="F137" s="1"/>
      <c r="G137" s="1"/>
      <c r="H137" s="1"/>
      <c r="I137" s="1"/>
      <c r="J137" s="1"/>
      <c r="K137" s="1"/>
      <c r="L137" s="8"/>
      <c r="M137" s="1"/>
      <c r="N137" s="1"/>
      <c r="O137" s="1"/>
      <c r="P137" s="1"/>
      <c r="Q137" s="1"/>
      <c r="R137" s="1"/>
      <c r="S137" s="1"/>
      <c r="T137" s="1"/>
      <c r="U137" s="1"/>
      <c r="V137" s="8"/>
    </row>
    <row r="138" spans="2:22" ht="30.75" customHeight="1" x14ac:dyDescent="0.65">
      <c r="B138" s="357" t="s">
        <v>176</v>
      </c>
      <c r="C138" s="276" t="s">
        <v>189</v>
      </c>
      <c r="D138" s="1"/>
      <c r="E138" s="1"/>
      <c r="F138" s="1"/>
      <c r="G138" s="1"/>
      <c r="H138" s="1"/>
      <c r="I138" s="1"/>
      <c r="J138" s="1"/>
      <c r="K138" s="1"/>
      <c r="L138" s="8"/>
      <c r="M138" s="1"/>
      <c r="N138" s="1"/>
      <c r="O138" s="1"/>
      <c r="P138" s="1"/>
      <c r="Q138" s="1"/>
      <c r="R138" s="1"/>
      <c r="S138" s="1"/>
      <c r="T138" s="1"/>
      <c r="U138" s="1"/>
      <c r="V138" s="8"/>
    </row>
    <row r="139" spans="2:22" ht="30.75" customHeight="1" x14ac:dyDescent="0.65">
      <c r="B139" s="357" t="s">
        <v>176</v>
      </c>
      <c r="C139" s="276" t="s">
        <v>190</v>
      </c>
      <c r="D139" s="1"/>
      <c r="E139" s="1"/>
      <c r="F139" s="1"/>
      <c r="G139" s="1"/>
      <c r="H139" s="1"/>
      <c r="I139" s="1"/>
      <c r="J139" s="1"/>
      <c r="K139" s="1"/>
      <c r="L139" s="8"/>
      <c r="M139" s="1"/>
      <c r="N139" s="1"/>
      <c r="O139" s="1"/>
      <c r="P139" s="1"/>
      <c r="Q139" s="1"/>
      <c r="R139" s="1"/>
      <c r="S139" s="1"/>
      <c r="T139" s="1"/>
      <c r="U139" s="1"/>
      <c r="V139" s="8"/>
    </row>
    <row r="140" spans="2:22" ht="30.75" customHeight="1" x14ac:dyDescent="0.65">
      <c r="B140" s="357" t="s">
        <v>176</v>
      </c>
      <c r="C140" s="276" t="s">
        <v>179</v>
      </c>
      <c r="D140" s="1"/>
      <c r="E140" s="1"/>
      <c r="F140" s="1"/>
      <c r="G140" s="1"/>
      <c r="H140" s="1"/>
      <c r="I140" s="1"/>
      <c r="J140" s="1"/>
      <c r="K140" s="1"/>
      <c r="L140" s="8"/>
      <c r="M140" s="1"/>
      <c r="N140" s="1"/>
      <c r="O140" s="1"/>
      <c r="P140" s="1"/>
      <c r="Q140" s="1"/>
      <c r="R140" s="1"/>
      <c r="S140" s="1"/>
      <c r="T140" s="1"/>
      <c r="U140" s="1"/>
      <c r="V140" s="8"/>
    </row>
    <row r="141" spans="2:22" ht="30.75" customHeight="1" x14ac:dyDescent="0.65">
      <c r="B141" s="285" t="s">
        <v>76</v>
      </c>
      <c r="C141" s="1"/>
      <c r="D141" s="1"/>
      <c r="E141" s="1"/>
      <c r="F141" s="1"/>
      <c r="G141" s="1"/>
      <c r="H141" s="1"/>
      <c r="I141" s="1"/>
      <c r="J141" s="1"/>
      <c r="K141" s="1"/>
      <c r="L141" s="8"/>
      <c r="M141" s="1"/>
      <c r="N141" s="1"/>
      <c r="O141" s="1"/>
      <c r="P141" s="1"/>
      <c r="Q141" s="1"/>
      <c r="R141" s="1"/>
      <c r="S141" s="1"/>
      <c r="T141" s="1"/>
      <c r="U141" s="1"/>
      <c r="V141" s="8"/>
    </row>
    <row r="142" spans="2:22" ht="30.75" customHeight="1" x14ac:dyDescent="0.65">
      <c r="B142" s="285" t="s">
        <v>77</v>
      </c>
      <c r="C142" s="1"/>
      <c r="D142" s="1"/>
      <c r="E142" s="1"/>
      <c r="F142" s="1"/>
      <c r="G142" s="1"/>
      <c r="H142" s="1"/>
      <c r="I142" s="1"/>
      <c r="J142" s="1"/>
      <c r="K142" s="1"/>
      <c r="L142" s="8"/>
      <c r="M142" s="1"/>
      <c r="N142" s="1"/>
      <c r="O142" s="1"/>
      <c r="P142" s="1"/>
      <c r="Q142" s="1"/>
      <c r="R142" s="1"/>
      <c r="S142" s="1"/>
      <c r="T142" s="1"/>
      <c r="U142" s="1"/>
      <c r="V142" s="8"/>
    </row>
    <row r="143" spans="2:22" ht="30.75" customHeight="1" x14ac:dyDescent="0.65">
      <c r="B143" s="276" t="s">
        <v>182</v>
      </c>
      <c r="C143" s="1"/>
      <c r="D143" s="1"/>
      <c r="E143" s="1"/>
      <c r="F143" s="1"/>
      <c r="G143" s="1"/>
      <c r="H143" s="1"/>
      <c r="I143" s="1"/>
      <c r="J143" s="1"/>
      <c r="K143" s="1"/>
      <c r="L143" s="8"/>
      <c r="M143" s="1"/>
      <c r="N143" s="1"/>
      <c r="O143" s="1"/>
      <c r="P143" s="1"/>
      <c r="Q143" s="1"/>
      <c r="R143" s="1"/>
      <c r="S143" s="1"/>
      <c r="T143" s="1"/>
      <c r="U143" s="1"/>
      <c r="V143" s="8"/>
    </row>
    <row r="144" spans="2:22" ht="29.25" customHeight="1" x14ac:dyDescent="0.65">
      <c r="B144" s="276" t="s">
        <v>99</v>
      </c>
      <c r="C144" s="1"/>
      <c r="D144" s="1"/>
      <c r="E144" s="1"/>
      <c r="F144" s="1"/>
      <c r="G144" s="1"/>
      <c r="H144" s="1"/>
      <c r="I144" s="1"/>
      <c r="J144" s="1"/>
      <c r="K144" s="1"/>
      <c r="L144" s="8"/>
      <c r="M144" s="1"/>
      <c r="N144" s="1"/>
      <c r="O144" s="1"/>
      <c r="P144" s="1"/>
      <c r="Q144" s="1"/>
      <c r="R144" s="1"/>
      <c r="S144" s="1"/>
      <c r="T144" s="1"/>
      <c r="U144" s="1"/>
      <c r="V144" s="8"/>
    </row>
    <row r="145" spans="2:22" ht="34.5" customHeight="1" x14ac:dyDescent="0.65">
      <c r="B145" s="276" t="s">
        <v>79</v>
      </c>
      <c r="C145" s="1"/>
      <c r="D145" s="1"/>
      <c r="E145" s="1"/>
      <c r="F145" s="1"/>
      <c r="G145" s="1"/>
      <c r="H145" s="1"/>
      <c r="I145" s="1"/>
      <c r="J145" s="1"/>
      <c r="K145" s="1"/>
      <c r="L145" s="8"/>
      <c r="M145" s="1"/>
      <c r="N145" s="1"/>
      <c r="O145" s="1"/>
      <c r="P145" s="1"/>
      <c r="Q145" s="1"/>
      <c r="R145" s="1"/>
      <c r="S145" s="1"/>
      <c r="T145" s="1"/>
      <c r="U145" s="1"/>
      <c r="V145" s="8"/>
    </row>
    <row r="146" spans="2:22" ht="34.5" customHeight="1" x14ac:dyDescent="0.65">
      <c r="B146" s="276" t="s">
        <v>80</v>
      </c>
      <c r="C146" s="1"/>
      <c r="D146" s="1"/>
      <c r="E146" s="1"/>
      <c r="F146" s="1"/>
      <c r="G146" s="1"/>
      <c r="H146" s="1"/>
      <c r="I146" s="1"/>
      <c r="J146" s="1"/>
      <c r="K146" s="1"/>
      <c r="L146" s="8"/>
      <c r="M146" s="1"/>
      <c r="N146" s="1"/>
      <c r="O146" s="1"/>
      <c r="P146" s="1"/>
      <c r="Q146" s="1"/>
      <c r="R146" s="1"/>
      <c r="S146" s="1"/>
      <c r="T146" s="1"/>
      <c r="U146" s="1"/>
      <c r="V146" s="8"/>
    </row>
    <row r="147" spans="2:22" ht="34.5" customHeight="1" x14ac:dyDescent="0.65">
      <c r="B147" s="276" t="s">
        <v>81</v>
      </c>
      <c r="C147" s="1"/>
      <c r="D147" s="1"/>
      <c r="E147" s="1"/>
      <c r="F147" s="1"/>
      <c r="G147" s="1"/>
      <c r="H147" s="1"/>
      <c r="I147" s="1"/>
      <c r="J147" s="1"/>
      <c r="K147" s="1"/>
      <c r="L147" s="8"/>
      <c r="M147" s="1"/>
      <c r="N147" s="1"/>
      <c r="O147" s="1"/>
      <c r="P147" s="1"/>
      <c r="Q147" s="1"/>
      <c r="R147" s="1"/>
      <c r="S147" s="1"/>
      <c r="T147" s="1"/>
      <c r="U147" s="1"/>
      <c r="V147" s="8"/>
    </row>
    <row r="148" spans="2:22" ht="15" customHeight="1" x14ac:dyDescent="0.2">
      <c r="B148" s="232"/>
      <c r="C148" s="1"/>
      <c r="D148" s="1"/>
      <c r="E148" s="1"/>
      <c r="F148" s="1"/>
      <c r="G148" s="1"/>
      <c r="H148" s="1"/>
      <c r="I148" s="1"/>
      <c r="J148" s="1"/>
      <c r="K148" s="1"/>
      <c r="L148" s="8"/>
      <c r="M148" s="1"/>
      <c r="N148" s="1"/>
      <c r="O148" s="1"/>
      <c r="P148" s="1"/>
      <c r="Q148" s="1"/>
      <c r="R148" s="1"/>
      <c r="S148" s="1"/>
      <c r="T148" s="1"/>
      <c r="U148" s="1"/>
      <c r="V148" s="8"/>
    </row>
    <row r="149" spans="2:22" ht="20.25" customHeight="1" x14ac:dyDescent="0.2">
      <c r="B149" s="232"/>
      <c r="C149" s="1"/>
      <c r="D149" s="1"/>
      <c r="E149" s="1"/>
      <c r="F149" s="1"/>
      <c r="G149" s="1"/>
      <c r="H149" s="1"/>
      <c r="I149" s="1"/>
      <c r="J149" s="1"/>
      <c r="K149" s="1"/>
      <c r="L149" s="8"/>
      <c r="M149" s="1"/>
      <c r="N149" s="1"/>
      <c r="O149" s="1"/>
      <c r="P149" s="1"/>
      <c r="Q149" s="1"/>
      <c r="R149" s="1"/>
      <c r="S149" s="1"/>
      <c r="T149" s="1"/>
      <c r="U149" s="1"/>
      <c r="V149" s="8"/>
    </row>
    <row r="150" spans="2:22" ht="20.2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8"/>
      <c r="M150" s="1"/>
      <c r="N150" s="1"/>
      <c r="O150" s="1"/>
      <c r="P150" s="1"/>
      <c r="Q150" s="1"/>
      <c r="R150" s="1"/>
      <c r="S150" s="1"/>
      <c r="T150" s="1"/>
      <c r="U150" s="1"/>
      <c r="V150" s="8"/>
    </row>
    <row r="151" spans="2:22" ht="20.2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8"/>
      <c r="M151" s="1"/>
      <c r="N151" s="1"/>
      <c r="O151" s="1"/>
      <c r="P151" s="1"/>
      <c r="Q151" s="1"/>
      <c r="R151" s="1"/>
      <c r="S151" s="1"/>
      <c r="T151" s="1"/>
      <c r="U151" s="1"/>
      <c r="V151" s="8"/>
    </row>
    <row r="152" spans="2:22" ht="20.2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8"/>
      <c r="M152" s="1"/>
      <c r="N152" s="1"/>
      <c r="O152" s="1"/>
      <c r="P152" s="1"/>
      <c r="Q152" s="1"/>
      <c r="R152" s="1"/>
      <c r="S152" s="1"/>
      <c r="T152" s="1"/>
      <c r="U152" s="1"/>
      <c r="V152" s="8"/>
    </row>
    <row r="153" spans="2:22" ht="20.2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8"/>
      <c r="M153" s="1"/>
      <c r="N153" s="1"/>
      <c r="O153" s="1"/>
      <c r="P153" s="1"/>
      <c r="Q153" s="1"/>
      <c r="R153" s="1"/>
      <c r="S153" s="1"/>
      <c r="T153" s="1"/>
      <c r="U153" s="1"/>
      <c r="V153" s="8"/>
    </row>
    <row r="154" spans="2:22" ht="20.2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8"/>
      <c r="M154" s="1"/>
      <c r="N154" s="1"/>
      <c r="O154" s="1"/>
      <c r="P154" s="1"/>
      <c r="Q154" s="1"/>
      <c r="R154" s="1"/>
      <c r="S154" s="1"/>
      <c r="T154" s="1"/>
      <c r="U154" s="1"/>
      <c r="V154" s="8"/>
    </row>
    <row r="155" spans="2:22" ht="20.2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8"/>
      <c r="M155" s="1"/>
      <c r="N155" s="1"/>
      <c r="O155" s="1"/>
      <c r="P155" s="1"/>
      <c r="Q155" s="1"/>
      <c r="R155" s="1"/>
      <c r="S155" s="1"/>
      <c r="T155" s="1"/>
      <c r="U155" s="1"/>
      <c r="V155" s="8"/>
    </row>
    <row r="156" spans="2:22" ht="20.2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8"/>
      <c r="M156" s="1"/>
      <c r="N156" s="1"/>
      <c r="O156" s="1"/>
      <c r="P156" s="1"/>
      <c r="Q156" s="1"/>
      <c r="R156" s="1"/>
      <c r="S156" s="1"/>
      <c r="T156" s="1"/>
      <c r="U156" s="1"/>
      <c r="V156" s="8"/>
    </row>
    <row r="157" spans="2:22" ht="20.2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1"/>
      <c r="N157" s="1"/>
      <c r="O157" s="1"/>
      <c r="P157" s="1"/>
      <c r="Q157" s="1"/>
      <c r="R157" s="1"/>
      <c r="S157" s="1"/>
      <c r="T157" s="1"/>
      <c r="U157" s="1"/>
      <c r="V157" s="8"/>
    </row>
    <row r="158" spans="2:22" ht="20.2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1"/>
      <c r="N158" s="1"/>
      <c r="O158" s="1"/>
      <c r="P158" s="1"/>
      <c r="Q158" s="1"/>
      <c r="R158" s="1"/>
      <c r="S158" s="1"/>
      <c r="T158" s="1"/>
      <c r="U158" s="1"/>
      <c r="V158" s="8"/>
    </row>
    <row r="159" spans="2:22" ht="20.2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1"/>
      <c r="N159" s="1"/>
      <c r="O159" s="1"/>
      <c r="P159" s="1"/>
      <c r="Q159" s="1"/>
      <c r="R159" s="1"/>
      <c r="S159" s="1"/>
      <c r="T159" s="1"/>
      <c r="U159" s="1"/>
      <c r="V159" s="8"/>
    </row>
    <row r="160" spans="2:22" ht="20.2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1"/>
      <c r="N160" s="1"/>
      <c r="O160" s="1"/>
      <c r="P160" s="1"/>
      <c r="Q160" s="1"/>
      <c r="R160" s="1"/>
      <c r="S160" s="1"/>
      <c r="T160" s="1"/>
      <c r="U160" s="1"/>
      <c r="V160" s="8"/>
    </row>
    <row r="161" spans="2:22" ht="20.2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1"/>
      <c r="N161" s="1"/>
      <c r="O161" s="1"/>
      <c r="P161" s="1"/>
      <c r="Q161" s="1"/>
      <c r="R161" s="1"/>
      <c r="S161" s="1"/>
      <c r="T161" s="1"/>
      <c r="U161" s="1"/>
      <c r="V161" s="8"/>
    </row>
    <row r="162" spans="2:22" ht="20.2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1"/>
      <c r="N162" s="1"/>
      <c r="O162" s="1"/>
      <c r="P162" s="1"/>
      <c r="Q162" s="1"/>
      <c r="R162" s="1"/>
      <c r="S162" s="1"/>
      <c r="T162" s="1"/>
      <c r="U162" s="1"/>
      <c r="V162" s="8"/>
    </row>
    <row r="163" spans="2:22" ht="20.2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1"/>
      <c r="N163" s="1"/>
      <c r="O163" s="1"/>
      <c r="P163" s="1"/>
      <c r="Q163" s="1"/>
      <c r="R163" s="1"/>
      <c r="S163" s="1"/>
      <c r="T163" s="1"/>
      <c r="U163" s="1"/>
      <c r="V163" s="8"/>
    </row>
    <row r="164" spans="2:22" ht="20.2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1"/>
      <c r="N164" s="1"/>
      <c r="O164" s="1"/>
      <c r="P164" s="1"/>
      <c r="Q164" s="1"/>
      <c r="R164" s="1"/>
      <c r="S164" s="1"/>
      <c r="T164" s="1"/>
      <c r="U164" s="1"/>
      <c r="V164" s="8"/>
    </row>
    <row r="165" spans="2:22" ht="20.2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1"/>
      <c r="N165" s="1"/>
      <c r="O165" s="1"/>
      <c r="P165" s="1"/>
      <c r="Q165" s="1"/>
      <c r="R165" s="1"/>
      <c r="S165" s="1"/>
      <c r="T165" s="1"/>
      <c r="U165" s="1"/>
      <c r="V165" s="8"/>
    </row>
    <row r="166" spans="2:22" ht="20.2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1"/>
      <c r="N166" s="1"/>
      <c r="O166" s="1"/>
      <c r="P166" s="1"/>
      <c r="Q166" s="1"/>
      <c r="R166" s="1"/>
      <c r="S166" s="1"/>
      <c r="T166" s="1"/>
      <c r="U166" s="1"/>
      <c r="V166" s="8"/>
    </row>
  </sheetData>
  <sheetProtection password="DCD1" sheet="1" objects="1" scenarios="1" selectLockedCells="1"/>
  <mergeCells count="113">
    <mergeCell ref="B1:V1"/>
    <mergeCell ref="B2:V2"/>
    <mergeCell ref="B3:Q3"/>
    <mergeCell ref="B4:Q4"/>
    <mergeCell ref="B5:C5"/>
    <mergeCell ref="I5:Q6"/>
    <mergeCell ref="B6:C6"/>
    <mergeCell ref="B9:C9"/>
    <mergeCell ref="I9:J9"/>
    <mergeCell ref="L9:M9"/>
    <mergeCell ref="B10:C10"/>
    <mergeCell ref="I10:J10"/>
    <mergeCell ref="L10:M10"/>
    <mergeCell ref="B7:C7"/>
    <mergeCell ref="I7:J7"/>
    <mergeCell ref="L7:M7"/>
    <mergeCell ref="B8:C8"/>
    <mergeCell ref="I8:J8"/>
    <mergeCell ref="L8:M8"/>
    <mergeCell ref="I13:J13"/>
    <mergeCell ref="L13:M13"/>
    <mergeCell ref="I14:J14"/>
    <mergeCell ref="L14:M14"/>
    <mergeCell ref="I15:J15"/>
    <mergeCell ref="L15:M15"/>
    <mergeCell ref="B11:C11"/>
    <mergeCell ref="I11:J11"/>
    <mergeCell ref="L11:M11"/>
    <mergeCell ref="B12:C12"/>
    <mergeCell ref="I12:J12"/>
    <mergeCell ref="L12:M12"/>
    <mergeCell ref="H27:I27"/>
    <mergeCell ref="L27:M27"/>
    <mergeCell ref="H28:I28"/>
    <mergeCell ref="L28:M28"/>
    <mergeCell ref="H29:I29"/>
    <mergeCell ref="L29:M29"/>
    <mergeCell ref="I16:J16"/>
    <mergeCell ref="L16:M16"/>
    <mergeCell ref="L17:M17"/>
    <mergeCell ref="L18:M18"/>
    <mergeCell ref="L19:M19"/>
    <mergeCell ref="I20:J20"/>
    <mergeCell ref="L20:M20"/>
    <mergeCell ref="H33:I33"/>
    <mergeCell ref="L33:M33"/>
    <mergeCell ref="H34:I34"/>
    <mergeCell ref="L34:M34"/>
    <mergeCell ref="H35:I35"/>
    <mergeCell ref="L35:M35"/>
    <mergeCell ref="H30:I30"/>
    <mergeCell ref="L30:M30"/>
    <mergeCell ref="H31:I31"/>
    <mergeCell ref="L31:M31"/>
    <mergeCell ref="H32:I32"/>
    <mergeCell ref="L32:M32"/>
    <mergeCell ref="H39:I39"/>
    <mergeCell ref="L39:M39"/>
    <mergeCell ref="H40:I40"/>
    <mergeCell ref="L40:M40"/>
    <mergeCell ref="B41:C41"/>
    <mergeCell ref="E42:M42"/>
    <mergeCell ref="H36:I36"/>
    <mergeCell ref="L36:M36"/>
    <mergeCell ref="H37:I37"/>
    <mergeCell ref="L37:M37"/>
    <mergeCell ref="H38:I38"/>
    <mergeCell ref="L38:M38"/>
    <mergeCell ref="H76:I76"/>
    <mergeCell ref="H77:I77"/>
    <mergeCell ref="H82:I82"/>
    <mergeCell ref="H83:I83"/>
    <mergeCell ref="H84:I84"/>
    <mergeCell ref="H85:I85"/>
    <mergeCell ref="B60:L60"/>
    <mergeCell ref="B63:Q63"/>
    <mergeCell ref="H72:I72"/>
    <mergeCell ref="H73:I73"/>
    <mergeCell ref="H74:I74"/>
    <mergeCell ref="H75:I75"/>
    <mergeCell ref="H92:I92"/>
    <mergeCell ref="H93:I93"/>
    <mergeCell ref="H100:I100"/>
    <mergeCell ref="H101:I101"/>
    <mergeCell ref="H102:I102"/>
    <mergeCell ref="H103:I103"/>
    <mergeCell ref="H86:I86"/>
    <mergeCell ref="H87:I87"/>
    <mergeCell ref="H88:I88"/>
    <mergeCell ref="H89:I89"/>
    <mergeCell ref="H90:I90"/>
    <mergeCell ref="H91:I91"/>
    <mergeCell ref="H110:I110"/>
    <mergeCell ref="H111:I111"/>
    <mergeCell ref="H119:I119"/>
    <mergeCell ref="H120:I120"/>
    <mergeCell ref="H121:I121"/>
    <mergeCell ref="H122:I122"/>
    <mergeCell ref="H104:I104"/>
    <mergeCell ref="H105:I105"/>
    <mergeCell ref="H106:I106"/>
    <mergeCell ref="H107:I107"/>
    <mergeCell ref="H108:I108"/>
    <mergeCell ref="H109:I109"/>
    <mergeCell ref="H129:I129"/>
    <mergeCell ref="H130:I130"/>
    <mergeCell ref="H131:I131"/>
    <mergeCell ref="H123:I123"/>
    <mergeCell ref="H124:I124"/>
    <mergeCell ref="H125:I125"/>
    <mergeCell ref="H126:I126"/>
    <mergeCell ref="H127:I127"/>
    <mergeCell ref="H128:I128"/>
  </mergeCells>
  <pageMargins left="0.38" right="0.15748031496062992" top="0.31496062992125984" bottom="0.19685039370078741" header="0.15748031496062992" footer="0.15748031496062992"/>
  <pageSetup paperSize="9" scale="72" orientation="portrait" r:id="rId1"/>
  <headerFooter>
    <oddHeader xml:space="preserve">&amp;R&amp;A / &amp;F      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79"/>
  <sheetViews>
    <sheetView showGridLines="0" showRowColHeaders="0" tabSelected="1" topLeftCell="A51" zoomScaleNormal="100" workbookViewId="0">
      <selection activeCell="M180" sqref="M180"/>
    </sheetView>
  </sheetViews>
  <sheetFormatPr defaultRowHeight="20.25" customHeight="1" x14ac:dyDescent="0.2"/>
  <cols>
    <col min="1" max="1" width="2.625" style="233" customWidth="1"/>
    <col min="2" max="2" width="17.75" style="233" customWidth="1"/>
    <col min="3" max="3" width="18.875" style="233" customWidth="1"/>
    <col min="4" max="4" width="3.875" style="233" hidden="1" customWidth="1"/>
    <col min="5" max="5" width="17.375" style="233" customWidth="1"/>
    <col min="6" max="6" width="13.625" style="233" hidden="1" customWidth="1"/>
    <col min="7" max="7" width="10.625" style="233" hidden="1" customWidth="1"/>
    <col min="8" max="8" width="16" style="233" customWidth="1"/>
    <col min="9" max="9" width="2.75" style="233" customWidth="1"/>
    <col min="10" max="10" width="14.625" style="233" customWidth="1"/>
    <col min="11" max="11" width="14" style="233" hidden="1" customWidth="1"/>
    <col min="12" max="12" width="3.75" style="235" customWidth="1"/>
    <col min="13" max="13" width="15.125" style="233" customWidth="1"/>
    <col min="14" max="14" width="14.875" style="233" hidden="1" customWidth="1"/>
    <col min="15" max="16" width="13" style="233" hidden="1" customWidth="1"/>
    <col min="17" max="17" width="17.625" style="233" customWidth="1"/>
    <col min="18" max="18" width="6.875" style="233" hidden="1" customWidth="1"/>
    <col min="19" max="19" width="7.375" style="233" hidden="1" customWidth="1"/>
    <col min="20" max="20" width="6.375" style="233" hidden="1" customWidth="1"/>
    <col min="21" max="21" width="1.125" style="233" hidden="1" customWidth="1"/>
    <col min="22" max="22" width="2.875" style="235" customWidth="1"/>
    <col min="23" max="23" width="17.25" style="233" customWidth="1"/>
    <col min="24" max="27" width="9" style="233"/>
    <col min="28" max="28" width="12.25" style="233" customWidth="1"/>
    <col min="29" max="16384" width="9" style="233"/>
  </cols>
  <sheetData>
    <row r="1" spans="2:22" ht="20.25" customHeight="1" x14ac:dyDescent="0.25">
      <c r="B1" s="482" t="s">
        <v>82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</row>
    <row r="2" spans="2:22" ht="24" customHeight="1" x14ac:dyDescent="0.2">
      <c r="B2" s="483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</row>
    <row r="3" spans="2:22" ht="27" customHeight="1" x14ac:dyDescent="0.2">
      <c r="B3" s="484" t="s">
        <v>228</v>
      </c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6"/>
      <c r="R3" s="234"/>
      <c r="S3" s="234"/>
      <c r="T3" s="234"/>
    </row>
    <row r="4" spans="2:22" ht="9.75" customHeight="1" x14ac:dyDescent="0.2"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234"/>
      <c r="S4" s="234"/>
      <c r="T4" s="234"/>
    </row>
    <row r="5" spans="2:22" ht="32.25" customHeight="1" x14ac:dyDescent="0.2">
      <c r="B5" s="562" t="s">
        <v>2</v>
      </c>
      <c r="C5" s="563"/>
      <c r="D5" s="395"/>
      <c r="E5" s="5" t="s">
        <v>3</v>
      </c>
      <c r="F5" s="5"/>
      <c r="G5" s="5"/>
      <c r="H5" s="5" t="s">
        <v>4</v>
      </c>
      <c r="I5" s="490" t="s">
        <v>5</v>
      </c>
      <c r="J5" s="491"/>
      <c r="K5" s="491"/>
      <c r="L5" s="491"/>
      <c r="M5" s="491"/>
      <c r="N5" s="491"/>
      <c r="O5" s="491"/>
      <c r="P5" s="491"/>
      <c r="Q5" s="492"/>
      <c r="R5" s="237"/>
      <c r="S5" s="237"/>
      <c r="T5" s="237"/>
    </row>
    <row r="6" spans="2:22" ht="24" customHeight="1" x14ac:dyDescent="0.2">
      <c r="B6" s="579" t="s">
        <v>227</v>
      </c>
      <c r="C6" s="580"/>
      <c r="D6" s="399"/>
      <c r="E6" s="238">
        <v>31889</v>
      </c>
      <c r="F6" s="238"/>
      <c r="G6" s="238"/>
      <c r="H6" s="238">
        <v>45931</v>
      </c>
      <c r="I6" s="493"/>
      <c r="J6" s="494"/>
      <c r="K6" s="494"/>
      <c r="L6" s="494"/>
      <c r="M6" s="494"/>
      <c r="N6" s="494"/>
      <c r="O6" s="494"/>
      <c r="P6" s="494"/>
      <c r="Q6" s="495"/>
      <c r="R6" s="239"/>
      <c r="S6" s="239"/>
      <c r="T6" s="239"/>
    </row>
    <row r="7" spans="2:22" ht="22.5" customHeight="1" x14ac:dyDescent="0.2">
      <c r="B7" s="498" t="s">
        <v>5</v>
      </c>
      <c r="C7" s="499"/>
      <c r="D7" s="389"/>
      <c r="E7" s="6" t="s">
        <v>6</v>
      </c>
      <c r="F7" s="6"/>
      <c r="G7" s="6"/>
      <c r="H7" s="6" t="s">
        <v>7</v>
      </c>
      <c r="I7" s="552" t="s">
        <v>8</v>
      </c>
      <c r="J7" s="553"/>
      <c r="K7" s="15"/>
      <c r="L7" s="552" t="s">
        <v>9</v>
      </c>
      <c r="M7" s="553"/>
      <c r="N7" s="15"/>
      <c r="O7" s="15"/>
      <c r="P7" s="15"/>
      <c r="Q7" s="15" t="s">
        <v>10</v>
      </c>
      <c r="R7" s="240"/>
      <c r="S7" s="240"/>
      <c r="T7" s="240"/>
    </row>
    <row r="8" spans="2:22" ht="23.25" customHeight="1" x14ac:dyDescent="0.2">
      <c r="B8" s="500" t="s">
        <v>11</v>
      </c>
      <c r="C8" s="501"/>
      <c r="D8" s="241"/>
      <c r="E8" s="19">
        <f>IF(E6&gt;0,(E6)," ")</f>
        <v>31889</v>
      </c>
      <c r="F8" s="242"/>
      <c r="G8" s="242"/>
      <c r="H8" s="243">
        <v>45931</v>
      </c>
      <c r="I8" s="554">
        <f>IF(H8&lt;=0,(""),IF(N8&lt;12,K8,(K8+1)))</f>
        <v>38</v>
      </c>
      <c r="J8" s="555"/>
      <c r="K8" s="24">
        <f t="shared" ref="K8:K11" si="0">IF(B8&gt;0,DATEDIF(E8,H8,"y"),(0))</f>
        <v>38</v>
      </c>
      <c r="L8" s="556">
        <f>IF(H8&lt;=0,(""),IF((N8=12),0,(N8)))</f>
        <v>5</v>
      </c>
      <c r="M8" s="557"/>
      <c r="N8" s="24">
        <f>IF(B8&lt;=0,(0),IF(U8&gt;=29,(O8+1),(O8)))</f>
        <v>5</v>
      </c>
      <c r="O8" s="24">
        <f t="shared" ref="O8:O11" si="1">IF(B8&gt;0,DATEDIF(E8,H8,"ym"),(0))</f>
        <v>5</v>
      </c>
      <c r="P8" s="24"/>
      <c r="Q8" s="27">
        <f>IF(H8&lt;=0,(""),IF(T8&lt;(29),(R8+1),(0)))</f>
        <v>10</v>
      </c>
      <c r="R8" s="28">
        <f>S8</f>
        <v>9</v>
      </c>
      <c r="S8" s="29">
        <f>IF(U8&lt;30,T8,(0))</f>
        <v>9</v>
      </c>
      <c r="T8" s="28">
        <f>U8</f>
        <v>9</v>
      </c>
      <c r="U8" s="30">
        <f>IF(B8&gt;0,DATEDIF(E8,H8,"md"),(0))</f>
        <v>9</v>
      </c>
      <c r="V8" s="244"/>
    </row>
    <row r="9" spans="2:22" ht="20.25" customHeight="1" x14ac:dyDescent="0.2">
      <c r="B9" s="502" t="s">
        <v>12</v>
      </c>
      <c r="C9" s="503"/>
      <c r="D9" s="245"/>
      <c r="E9" s="33"/>
      <c r="F9" s="33"/>
      <c r="G9" s="33"/>
      <c r="H9" s="33"/>
      <c r="I9" s="548"/>
      <c r="J9" s="549"/>
      <c r="K9" s="36">
        <f t="shared" si="0"/>
        <v>0</v>
      </c>
      <c r="L9" s="577"/>
      <c r="M9" s="578"/>
      <c r="N9" s="39">
        <f>L9</f>
        <v>0</v>
      </c>
      <c r="O9" s="39">
        <f>L9</f>
        <v>0</v>
      </c>
      <c r="P9" s="39"/>
      <c r="Q9" s="246"/>
      <c r="R9" s="28">
        <f t="shared" ref="R9:R11" si="2">S9</f>
        <v>0</v>
      </c>
      <c r="S9" s="29">
        <f t="shared" ref="S9:S11" si="3">IF(U9&lt;30,T9,(0))</f>
        <v>0</v>
      </c>
      <c r="T9" s="28">
        <f t="shared" ref="T9:T11" si="4">U9</f>
        <v>0</v>
      </c>
      <c r="U9" s="30">
        <f t="shared" ref="U9:U11" si="5">IF(B9&gt;0,DATEDIF(E9,H9,"md"),(0))</f>
        <v>0</v>
      </c>
      <c r="V9" s="244"/>
    </row>
    <row r="10" spans="2:22" ht="21.75" customHeight="1" x14ac:dyDescent="0.2">
      <c r="B10" s="502" t="s">
        <v>13</v>
      </c>
      <c r="C10" s="503"/>
      <c r="D10" s="247"/>
      <c r="E10" s="33"/>
      <c r="F10" s="33"/>
      <c r="G10" s="33"/>
      <c r="H10" s="33"/>
      <c r="I10" s="548"/>
      <c r="J10" s="549"/>
      <c r="K10" s="36">
        <f t="shared" si="0"/>
        <v>0</v>
      </c>
      <c r="L10" s="577">
        <v>2</v>
      </c>
      <c r="M10" s="578"/>
      <c r="N10" s="39">
        <f>L10</f>
        <v>2</v>
      </c>
      <c r="O10" s="39">
        <f>L10</f>
        <v>2</v>
      </c>
      <c r="P10" s="39"/>
      <c r="Q10" s="246">
        <v>8</v>
      </c>
      <c r="R10" s="28">
        <f t="shared" si="2"/>
        <v>0</v>
      </c>
      <c r="S10" s="29">
        <f t="shared" si="3"/>
        <v>0</v>
      </c>
      <c r="T10" s="28">
        <f t="shared" si="4"/>
        <v>0</v>
      </c>
      <c r="U10" s="30">
        <f t="shared" si="5"/>
        <v>0</v>
      </c>
      <c r="V10" s="244"/>
    </row>
    <row r="11" spans="2:22" ht="21.75" customHeight="1" x14ac:dyDescent="0.2">
      <c r="B11" s="504" t="s">
        <v>85</v>
      </c>
      <c r="C11" s="505"/>
      <c r="D11" s="248"/>
      <c r="E11" s="249"/>
      <c r="F11" s="249"/>
      <c r="G11" s="249"/>
      <c r="H11" s="249"/>
      <c r="I11" s="542" t="str">
        <f>IF(H11&lt;=0,(""),IF(N11&lt;12,K11,(K11+1)))</f>
        <v/>
      </c>
      <c r="J11" s="543"/>
      <c r="K11" s="46">
        <f t="shared" si="0"/>
        <v>0</v>
      </c>
      <c r="L11" s="544" t="str">
        <f>IF(H11&lt;=0,(""),IF((N11=12),0,(N11)))</f>
        <v/>
      </c>
      <c r="M11" s="545"/>
      <c r="N11" s="24">
        <f>IF(B11&lt;=0,(0),IF(U11&gt;=29,(O11+1),(O11)))</f>
        <v>0</v>
      </c>
      <c r="O11" s="24">
        <f t="shared" si="1"/>
        <v>0</v>
      </c>
      <c r="P11" s="24"/>
      <c r="Q11" s="27" t="str">
        <f>IF(H11&lt;=0,(""),IF(T11&lt;(29),(R11+1),(0)))</f>
        <v/>
      </c>
      <c r="R11" s="28">
        <f t="shared" si="2"/>
        <v>0</v>
      </c>
      <c r="S11" s="29">
        <f t="shared" si="3"/>
        <v>0</v>
      </c>
      <c r="T11" s="28">
        <f t="shared" si="4"/>
        <v>0</v>
      </c>
      <c r="U11" s="30">
        <f t="shared" si="5"/>
        <v>0</v>
      </c>
      <c r="V11" s="244"/>
    </row>
    <row r="12" spans="2:22" ht="21" customHeight="1" x14ac:dyDescent="0.2">
      <c r="B12" s="480" t="s">
        <v>15</v>
      </c>
      <c r="C12" s="481"/>
      <c r="D12" s="250"/>
      <c r="E12" s="50"/>
      <c r="F12" s="50"/>
      <c r="G12" s="50"/>
      <c r="H12" s="50"/>
      <c r="I12" s="575"/>
      <c r="J12" s="576"/>
      <c r="K12" s="53">
        <f>I12</f>
        <v>0</v>
      </c>
      <c r="L12" s="575"/>
      <c r="M12" s="576"/>
      <c r="N12" s="53">
        <f>L12</f>
        <v>0</v>
      </c>
      <c r="O12" s="55">
        <f>L12</f>
        <v>0</v>
      </c>
      <c r="P12" s="52"/>
      <c r="Q12" s="251"/>
      <c r="R12" s="56"/>
      <c r="S12" s="57"/>
      <c r="T12" s="56"/>
      <c r="U12" s="58"/>
      <c r="V12" s="244"/>
    </row>
    <row r="13" spans="2:22" ht="24.75" hidden="1" customHeight="1" x14ac:dyDescent="0.2">
      <c r="B13" s="59"/>
      <c r="C13" s="59"/>
      <c r="D13" s="59"/>
      <c r="E13" s="59"/>
      <c r="F13" s="59"/>
      <c r="G13" s="59"/>
      <c r="H13" s="60" t="s">
        <v>16</v>
      </c>
      <c r="I13" s="538">
        <f>SUM(I8:I12)</f>
        <v>38</v>
      </c>
      <c r="J13" s="539"/>
      <c r="K13" s="65">
        <f>SUM(K8:K12)</f>
        <v>38</v>
      </c>
      <c r="L13" s="538">
        <f>IF(Q13&gt;=150,(N13+5),IF(Q13&gt;=120,(N13+4),IF(Q13&gt;=90,(N13+3),IF(Q13&gt;=60,(N13+2),IF(Q13&gt;=30,(N13+1),(N13))))))</f>
        <v>7</v>
      </c>
      <c r="M13" s="539"/>
      <c r="N13" s="65">
        <f>SUM(N8:N12)</f>
        <v>7</v>
      </c>
      <c r="O13" s="66">
        <f>SUM(O8:O12)</f>
        <v>7</v>
      </c>
      <c r="P13" s="67"/>
      <c r="Q13" s="67">
        <f>SUM(Q8:Q12)</f>
        <v>18</v>
      </c>
      <c r="R13" s="62"/>
      <c r="S13" s="62"/>
      <c r="T13" s="62"/>
      <c r="U13" s="62"/>
      <c r="V13" s="252"/>
    </row>
    <row r="14" spans="2:22" ht="24.75" hidden="1" customHeight="1" x14ac:dyDescent="0.2">
      <c r="B14" s="59"/>
      <c r="C14" s="59"/>
      <c r="D14" s="59"/>
      <c r="E14" s="59"/>
      <c r="F14" s="59"/>
      <c r="G14" s="59"/>
      <c r="H14" s="60" t="s">
        <v>16</v>
      </c>
      <c r="I14" s="538">
        <f>IF(L13&gt;=12,(I13+1),I13)</f>
        <v>38</v>
      </c>
      <c r="J14" s="539"/>
      <c r="K14" s="65">
        <f>IF(L14&gt;=12,(K13+1),K13)</f>
        <v>38</v>
      </c>
      <c r="L14" s="538">
        <f t="shared" ref="L14:L19" si="6">IF(L13&gt;12,(L13-12),L13)</f>
        <v>7</v>
      </c>
      <c r="M14" s="539"/>
      <c r="N14" s="65">
        <f>IF(O14&lt;=12,O14,(O14-12))</f>
        <v>7</v>
      </c>
      <c r="O14" s="66">
        <f>IF(Q13&lt;30,N13,(N13+1))</f>
        <v>7</v>
      </c>
      <c r="P14" s="67"/>
      <c r="Q14" s="67">
        <f t="shared" ref="Q14:Q19" si="7">IF(Q13&lt;30,Q13,(Q13-30))</f>
        <v>18</v>
      </c>
      <c r="R14" s="69"/>
      <c r="S14" s="69"/>
      <c r="T14" s="69"/>
    </row>
    <row r="15" spans="2:22" ht="24.75" hidden="1" customHeight="1" x14ac:dyDescent="0.2">
      <c r="B15" s="59"/>
      <c r="C15" s="59"/>
      <c r="D15" s="59"/>
      <c r="E15" s="59"/>
      <c r="F15" s="59"/>
      <c r="G15" s="59"/>
      <c r="H15" s="60"/>
      <c r="I15" s="538"/>
      <c r="J15" s="539"/>
      <c r="K15" s="65"/>
      <c r="L15" s="538">
        <f t="shared" si="6"/>
        <v>7</v>
      </c>
      <c r="M15" s="539"/>
      <c r="N15" s="65"/>
      <c r="O15" s="66"/>
      <c r="P15" s="67"/>
      <c r="Q15" s="67">
        <f t="shared" si="7"/>
        <v>18</v>
      </c>
      <c r="R15" s="69"/>
      <c r="S15" s="69"/>
      <c r="T15" s="69"/>
    </row>
    <row r="16" spans="2:22" ht="25.5" hidden="1" customHeight="1" x14ac:dyDescent="0.2">
      <c r="B16" s="70"/>
      <c r="C16" s="71"/>
      <c r="D16" s="71"/>
      <c r="E16" s="71"/>
      <c r="F16" s="71"/>
      <c r="G16" s="71"/>
      <c r="H16" s="253" t="s">
        <v>16</v>
      </c>
      <c r="I16" s="538"/>
      <c r="J16" s="539"/>
      <c r="K16" s="65">
        <f>IF(L14&gt;=12,(K14),K13)</f>
        <v>38</v>
      </c>
      <c r="L16" s="538">
        <f t="shared" si="6"/>
        <v>7</v>
      </c>
      <c r="M16" s="539"/>
      <c r="N16" s="65">
        <f>IF(O16&lt;12,O16,(O16-12))</f>
        <v>7</v>
      </c>
      <c r="O16" s="66">
        <f>IF(Q14&lt;30,N14,(N14+1))</f>
        <v>7</v>
      </c>
      <c r="P16" s="66"/>
      <c r="Q16" s="67">
        <f t="shared" si="7"/>
        <v>18</v>
      </c>
      <c r="R16" s="69"/>
      <c r="S16" s="69"/>
      <c r="T16" s="69"/>
    </row>
    <row r="17" spans="2:21" ht="25.5" hidden="1" customHeight="1" x14ac:dyDescent="0.2">
      <c r="B17" s="254"/>
      <c r="C17" s="254"/>
      <c r="D17" s="254"/>
      <c r="E17" s="254"/>
      <c r="F17" s="254"/>
      <c r="G17" s="254"/>
      <c r="H17" s="253"/>
      <c r="I17" s="393"/>
      <c r="J17" s="394"/>
      <c r="K17" s="65"/>
      <c r="L17" s="538">
        <f t="shared" si="6"/>
        <v>7</v>
      </c>
      <c r="M17" s="539"/>
      <c r="N17" s="65"/>
      <c r="O17" s="66"/>
      <c r="P17" s="66"/>
      <c r="Q17" s="67">
        <f t="shared" si="7"/>
        <v>18</v>
      </c>
      <c r="R17" s="69"/>
      <c r="S17" s="69"/>
      <c r="T17" s="69"/>
    </row>
    <row r="18" spans="2:21" ht="25.5" hidden="1" customHeight="1" x14ac:dyDescent="0.2">
      <c r="B18" s="254"/>
      <c r="C18" s="254"/>
      <c r="D18" s="254"/>
      <c r="E18" s="254"/>
      <c r="F18" s="254"/>
      <c r="G18" s="254"/>
      <c r="H18" s="253"/>
      <c r="I18" s="393"/>
      <c r="J18" s="394"/>
      <c r="K18" s="65"/>
      <c r="L18" s="538">
        <f t="shared" si="6"/>
        <v>7</v>
      </c>
      <c r="M18" s="539"/>
      <c r="N18" s="65"/>
      <c r="O18" s="66"/>
      <c r="P18" s="66"/>
      <c r="Q18" s="67">
        <f t="shared" si="7"/>
        <v>18</v>
      </c>
      <c r="R18" s="69"/>
      <c r="S18" s="69"/>
      <c r="T18" s="69"/>
    </row>
    <row r="19" spans="2:21" ht="25.5" hidden="1" customHeight="1" x14ac:dyDescent="0.2">
      <c r="B19" s="254"/>
      <c r="C19" s="254"/>
      <c r="D19" s="254"/>
      <c r="E19" s="254"/>
      <c r="F19" s="254"/>
      <c r="G19" s="254"/>
      <c r="H19" s="253"/>
      <c r="I19" s="393"/>
      <c r="J19" s="394"/>
      <c r="K19" s="65"/>
      <c r="L19" s="538">
        <f t="shared" si="6"/>
        <v>7</v>
      </c>
      <c r="M19" s="539"/>
      <c r="N19" s="65"/>
      <c r="O19" s="66"/>
      <c r="P19" s="66"/>
      <c r="Q19" s="67">
        <f t="shared" si="7"/>
        <v>18</v>
      </c>
      <c r="R19" s="69"/>
      <c r="S19" s="69"/>
      <c r="T19" s="69"/>
    </row>
    <row r="20" spans="2:21" ht="25.5" hidden="1" customHeight="1" x14ac:dyDescent="0.2">
      <c r="B20" s="408"/>
      <c r="C20" s="254"/>
      <c r="D20" s="254"/>
      <c r="E20" s="254"/>
      <c r="F20" s="254"/>
      <c r="G20" s="254"/>
      <c r="H20" s="412" t="s">
        <v>16</v>
      </c>
      <c r="I20" s="532">
        <f>IF(H8=0,(0),IF(L13&gt;=72,(I13+6),IF(L13&gt;=60,(I13+5),IF(L13&gt;=48,(K13+4),IF(L13&gt;=36,(K13+3),IF(L13&gt;=24,(K13+2),IF(L13&gt;=12,(K13+1),(K13))))))))</f>
        <v>38</v>
      </c>
      <c r="J20" s="533"/>
      <c r="K20" s="63">
        <f>IF(L16&gt;=12,(K16),K14)</f>
        <v>38</v>
      </c>
      <c r="L20" s="532">
        <f>IF(H8=0,(0),IF(L19&gt;12,(L19-12),IF(L19=12,(0),L19)))</f>
        <v>7</v>
      </c>
      <c r="M20" s="533"/>
      <c r="N20" s="75">
        <f>IF(Q16&lt;30,N16,((L16+1)+1))</f>
        <v>7</v>
      </c>
      <c r="O20" s="66">
        <f>IF(Q16&lt;30,N16,(N16+1))</f>
        <v>7</v>
      </c>
      <c r="P20" s="66"/>
      <c r="Q20" s="371">
        <f>IF(H8=0,(0),IF(Q17&lt;30,Q17,(Q17-30)))</f>
        <v>18</v>
      </c>
      <c r="R20" s="69"/>
      <c r="S20" s="69"/>
      <c r="T20" s="69"/>
      <c r="U20" s="1"/>
    </row>
    <row r="21" spans="2:21" ht="21.75" customHeight="1" x14ac:dyDescent="0.2">
      <c r="B21" s="451" t="s">
        <v>212</v>
      </c>
      <c r="C21" s="452"/>
      <c r="D21" s="452"/>
      <c r="E21" s="452"/>
      <c r="F21" s="452"/>
      <c r="G21" s="452"/>
      <c r="H21" s="453"/>
      <c r="I21" s="581"/>
      <c r="J21" s="581"/>
      <c r="K21" s="413"/>
      <c r="L21" s="581"/>
      <c r="M21" s="581"/>
      <c r="N21" s="414"/>
      <c r="O21" s="413"/>
      <c r="P21" s="413"/>
      <c r="Q21" s="413"/>
      <c r="R21" s="69"/>
      <c r="S21" s="69"/>
      <c r="T21" s="69"/>
      <c r="U21" s="1"/>
    </row>
    <row r="22" spans="2:21" ht="25.5" hidden="1" customHeight="1" x14ac:dyDescent="0.2">
      <c r="B22" s="408"/>
      <c r="C22" s="254"/>
      <c r="D22" s="254"/>
      <c r="E22" s="254"/>
      <c r="F22" s="254"/>
      <c r="G22" s="254"/>
      <c r="H22" s="400"/>
      <c r="I22" s="582">
        <f>I20-I21</f>
        <v>38</v>
      </c>
      <c r="J22" s="582"/>
      <c r="K22" s="401"/>
      <c r="L22" s="582">
        <f>L20-L21</f>
        <v>7</v>
      </c>
      <c r="M22" s="582"/>
      <c r="N22" s="404"/>
      <c r="O22" s="68"/>
      <c r="P22" s="68"/>
      <c r="Q22" s="68">
        <f>Q20-Q21</f>
        <v>18</v>
      </c>
      <c r="R22" s="69"/>
      <c r="S22" s="69"/>
      <c r="T22" s="69"/>
      <c r="U22" s="1"/>
    </row>
    <row r="23" spans="2:21" ht="25.5" hidden="1" customHeight="1" x14ac:dyDescent="0.2">
      <c r="B23" s="408"/>
      <c r="C23" s="254"/>
      <c r="D23" s="254"/>
      <c r="E23" s="254"/>
      <c r="F23" s="254"/>
      <c r="G23" s="254"/>
      <c r="H23" s="400"/>
      <c r="I23" s="584">
        <f>IF(L27&lt;0,(I22-6),IF(L26&lt;0,(I22-5),IF(L25&lt;0,(I22-4),IF(L24&lt;0,(I22-3),IF(L23&lt;0,(I22-2),IF(L22&lt;0,(I22-1),(I20-I21)))))))</f>
        <v>38</v>
      </c>
      <c r="J23" s="584"/>
      <c r="K23" s="401"/>
      <c r="L23" s="582">
        <f>IF(L20&lt;L21,((L20+12)-L21),(L22))</f>
        <v>7</v>
      </c>
      <c r="M23" s="582"/>
      <c r="N23" s="68">
        <f t="shared" ref="N23:P23" si="8">IF(N20&lt;N21,((N20+30)-N21),(N22))</f>
        <v>0</v>
      </c>
      <c r="O23" s="68">
        <f t="shared" si="8"/>
        <v>0</v>
      </c>
      <c r="P23" s="68">
        <f t="shared" si="8"/>
        <v>0</v>
      </c>
      <c r="Q23" s="68">
        <f>IF(Q20&lt;Q21,((Q20+30)-Q21),(Q22))</f>
        <v>18</v>
      </c>
      <c r="R23" s="69"/>
      <c r="S23" s="69"/>
      <c r="T23" s="69"/>
      <c r="U23" s="1"/>
    </row>
    <row r="24" spans="2:21" ht="25.5" hidden="1" customHeight="1" x14ac:dyDescent="0.2">
      <c r="B24" s="408"/>
      <c r="C24" s="254"/>
      <c r="D24" s="254"/>
      <c r="E24" s="254"/>
      <c r="F24" s="254"/>
      <c r="G24" s="254"/>
      <c r="I24" s="583">
        <f>IF(L30&lt;0,(I23-1),I23)</f>
        <v>38</v>
      </c>
      <c r="J24" s="583"/>
      <c r="K24" s="73"/>
      <c r="L24" s="582">
        <f>IF(L20&lt;L21,((L20+24)-L21),(L22))</f>
        <v>7</v>
      </c>
      <c r="M24" s="582"/>
      <c r="N24" s="406"/>
      <c r="O24" s="407"/>
      <c r="P24" s="407"/>
      <c r="Q24" s="68">
        <f>IF(Q23&lt;0,((Q20+60)-Q21),(Q23))</f>
        <v>18</v>
      </c>
      <c r="R24" s="69"/>
      <c r="S24" s="69"/>
      <c r="T24" s="69"/>
      <c r="U24" s="1"/>
    </row>
    <row r="25" spans="2:21" ht="25.5" hidden="1" customHeight="1" x14ac:dyDescent="0.2">
      <c r="B25" s="408"/>
      <c r="C25" s="254"/>
      <c r="D25" s="254"/>
      <c r="E25" s="254"/>
      <c r="F25" s="254"/>
      <c r="G25" s="254"/>
      <c r="H25" s="400"/>
      <c r="I25" s="585"/>
      <c r="J25" s="586"/>
      <c r="K25" s="401"/>
      <c r="L25" s="582">
        <f>IF(L20&lt;L21,((L20+36)-L21),(L22))</f>
        <v>7</v>
      </c>
      <c r="M25" s="582"/>
      <c r="N25" s="404"/>
      <c r="O25" s="68"/>
      <c r="P25" s="68"/>
      <c r="Q25" s="68">
        <f>IF(Q24&lt;0,((Q20+90)-Q21),(Q24))</f>
        <v>18</v>
      </c>
      <c r="R25" s="69"/>
      <c r="S25" s="69"/>
      <c r="T25" s="69"/>
      <c r="U25" s="1"/>
    </row>
    <row r="26" spans="2:21" ht="25.5" hidden="1" customHeight="1" x14ac:dyDescent="0.2">
      <c r="B26" s="408"/>
      <c r="C26" s="254"/>
      <c r="D26" s="254"/>
      <c r="E26" s="254"/>
      <c r="F26" s="254"/>
      <c r="G26" s="254"/>
      <c r="H26" s="400"/>
      <c r="I26" s="588"/>
      <c r="J26" s="589"/>
      <c r="K26" s="401"/>
      <c r="L26" s="582">
        <f>IF(L20&lt;L21,((L20+48)-L21),(L22))</f>
        <v>7</v>
      </c>
      <c r="M26" s="582"/>
      <c r="N26" s="404"/>
      <c r="O26" s="68"/>
      <c r="P26" s="68"/>
      <c r="Q26" s="68">
        <f>IF(Q25&lt;0,((Q20+120)-Q21),(Q25))</f>
        <v>18</v>
      </c>
      <c r="R26" s="69"/>
      <c r="S26" s="69"/>
      <c r="T26" s="69"/>
      <c r="U26" s="1"/>
    </row>
    <row r="27" spans="2:21" ht="25.5" hidden="1" customHeight="1" x14ac:dyDescent="0.2">
      <c r="B27" s="408"/>
      <c r="C27" s="254"/>
      <c r="D27" s="254"/>
      <c r="E27" s="254"/>
      <c r="F27" s="254"/>
      <c r="G27" s="254"/>
      <c r="H27" s="400"/>
      <c r="I27" s="590"/>
      <c r="J27" s="591"/>
      <c r="K27" s="401"/>
      <c r="L27" s="582">
        <f>IF(L20&lt;L21,((L20+60)-L21),(L22))</f>
        <v>7</v>
      </c>
      <c r="M27" s="582"/>
      <c r="N27" s="404"/>
      <c r="O27" s="68"/>
      <c r="P27" s="68"/>
      <c r="Q27" s="68">
        <f>IF(Q26&lt;0,((Q20+150)-Q21),(Q26))</f>
        <v>18</v>
      </c>
      <c r="R27" s="69"/>
      <c r="S27" s="69"/>
      <c r="T27" s="69"/>
      <c r="U27" s="1"/>
    </row>
    <row r="28" spans="2:21" ht="21.75" hidden="1" customHeight="1" x14ac:dyDescent="0.2">
      <c r="B28" s="254"/>
      <c r="C28" s="254"/>
      <c r="D28" s="254"/>
      <c r="E28" s="254"/>
      <c r="F28" s="254"/>
      <c r="G28" s="254"/>
      <c r="K28" s="73"/>
      <c r="L28" s="582">
        <f>IF(L20&lt;L21,((L20+72)-L21),(L22))</f>
        <v>7</v>
      </c>
      <c r="M28" s="582"/>
      <c r="N28" s="406"/>
      <c r="O28" s="407"/>
      <c r="P28" s="407"/>
      <c r="Q28" s="407">
        <f>IF(Q27&lt;0,((Q20+180)-Q21),(Q27))</f>
        <v>18</v>
      </c>
      <c r="R28" s="69"/>
      <c r="S28" s="69"/>
      <c r="T28" s="69"/>
      <c r="U28" s="1"/>
    </row>
    <row r="29" spans="2:21" ht="21.75" hidden="1" customHeight="1" x14ac:dyDescent="0.2">
      <c r="B29" s="254"/>
      <c r="C29" s="254"/>
      <c r="D29" s="254"/>
      <c r="E29" s="254"/>
      <c r="F29" s="254"/>
      <c r="G29" s="254"/>
      <c r="H29" s="400"/>
      <c r="I29" s="585"/>
      <c r="J29" s="586"/>
      <c r="K29" s="401"/>
      <c r="L29" s="587">
        <f>IF(L27&lt;0,((L20+72)-L21),IF(L26&lt;0,((L20+60)-L21),IF(L25&lt;0,((L20+48)-L21),IF(L24&lt;0,((L20+36)-L21),IF(L23&lt;0,((L20+24)-L21),IF(L22&lt;0,((L20+12)-L21),(L22)))))))</f>
        <v>7</v>
      </c>
      <c r="M29" s="587"/>
      <c r="N29" s="404"/>
      <c r="O29" s="68"/>
      <c r="P29" s="68"/>
      <c r="Q29" s="68"/>
      <c r="R29" s="69"/>
      <c r="S29" s="69"/>
      <c r="T29" s="69"/>
      <c r="U29" s="1"/>
    </row>
    <row r="30" spans="2:21" ht="21.75" hidden="1" customHeight="1" x14ac:dyDescent="0.2">
      <c r="B30" s="254"/>
      <c r="C30" s="254"/>
      <c r="D30" s="254"/>
      <c r="E30" s="254"/>
      <c r="F30" s="254"/>
      <c r="G30" s="254"/>
      <c r="H30" s="400"/>
      <c r="I30" s="409"/>
      <c r="J30" s="410"/>
      <c r="K30" s="401"/>
      <c r="L30" s="582">
        <f>IF(Q27&lt;0,(L29-6),IF(Q26&lt;0,(L29-5),IF(Q25&lt;0,(L29-4),IF(Q24&lt;0,(L29-3),IF(Q23&lt;0,(L29-2),IF(Q22&lt;0,(L29-1),L29))))))</f>
        <v>7</v>
      </c>
      <c r="M30" s="582"/>
      <c r="N30" s="404"/>
      <c r="O30" s="68"/>
      <c r="P30" s="68"/>
      <c r="Q30" s="68"/>
      <c r="R30" s="69"/>
      <c r="S30" s="69"/>
      <c r="T30" s="69"/>
      <c r="U30" s="1"/>
    </row>
    <row r="31" spans="2:21" ht="21.75" customHeight="1" x14ac:dyDescent="0.2">
      <c r="B31" s="70"/>
      <c r="C31" s="71"/>
      <c r="D31" s="71"/>
      <c r="E31" s="71"/>
      <c r="F31" s="71"/>
      <c r="G31" s="71"/>
      <c r="H31" s="415" t="s">
        <v>214</v>
      </c>
      <c r="I31" s="583">
        <f>I24</f>
        <v>38</v>
      </c>
      <c r="J31" s="583"/>
      <c r="K31" s="401"/>
      <c r="L31" s="583">
        <f>IF(L30&lt;0,(L30+12),L30)</f>
        <v>7</v>
      </c>
      <c r="M31" s="583"/>
      <c r="N31" s="404"/>
      <c r="O31" s="68"/>
      <c r="P31" s="68"/>
      <c r="Q31" s="407">
        <f>Q28</f>
        <v>18</v>
      </c>
      <c r="R31" s="69"/>
      <c r="S31" s="69"/>
      <c r="T31" s="69"/>
      <c r="U31" s="1"/>
    </row>
    <row r="32" spans="2:21" ht="25.5" hidden="1" customHeight="1" x14ac:dyDescent="0.2">
      <c r="B32" s="408"/>
      <c r="C32" s="254"/>
      <c r="D32" s="254"/>
      <c r="E32" s="254"/>
      <c r="F32" s="254"/>
      <c r="G32" s="254"/>
      <c r="H32" s="400"/>
      <c r="I32" s="409"/>
      <c r="J32" s="410"/>
      <c r="K32" s="401"/>
      <c r="L32" s="411"/>
      <c r="M32" s="411">
        <f>IF(L22&gt;(-12),((L20+12)-L21),IF(L22&gt;(-24),((L20+24)-L21),IF(L22&gt;(-36),((L20+36)-L21),L22)))</f>
        <v>19</v>
      </c>
      <c r="N32" s="404"/>
      <c r="O32" s="68"/>
      <c r="P32" s="68"/>
      <c r="Q32" s="68"/>
      <c r="R32" s="69"/>
      <c r="S32" s="69"/>
      <c r="T32" s="69"/>
      <c r="U32" s="1"/>
    </row>
    <row r="33" spans="2:23" ht="26.25" hidden="1" customHeight="1" thickBot="1" x14ac:dyDescent="0.25">
      <c r="B33" s="408"/>
      <c r="C33" s="254"/>
      <c r="D33" s="254"/>
      <c r="E33" s="254"/>
      <c r="F33" s="254"/>
      <c r="G33" s="254"/>
      <c r="H33" s="400" t="s">
        <v>17</v>
      </c>
      <c r="I33" s="402"/>
      <c r="J33" s="403">
        <f>IF(H8&gt;0,(ROUND(J34, 2)),"")</f>
        <v>38.630000000000003</v>
      </c>
      <c r="K33" s="59"/>
      <c r="L33" s="80"/>
      <c r="M33" s="81" t="s">
        <v>18</v>
      </c>
      <c r="N33" s="59"/>
      <c r="O33" s="59"/>
      <c r="P33" s="59"/>
      <c r="Q33" s="59"/>
      <c r="R33" s="59"/>
      <c r="S33" s="59"/>
      <c r="T33" s="59"/>
      <c r="U33" s="1"/>
      <c r="V33" s="8"/>
    </row>
    <row r="34" spans="2:23" ht="26.25" hidden="1" customHeight="1" thickTop="1" x14ac:dyDescent="0.25">
      <c r="B34" s="176"/>
      <c r="C34" s="336"/>
      <c r="D34" s="336"/>
      <c r="E34" s="336"/>
      <c r="F34" s="336"/>
      <c r="G34" s="336"/>
      <c r="H34" s="336"/>
      <c r="I34" s="82"/>
      <c r="J34" s="83">
        <f>IF(H8&gt;0,(I31+(L31/12)+(Q31/360))," ")</f>
        <v>38.633333333333333</v>
      </c>
      <c r="K34" s="82"/>
      <c r="L34" s="84"/>
      <c r="M34" s="85"/>
      <c r="N34" s="86"/>
      <c r="O34" s="86"/>
      <c r="P34" s="86"/>
      <c r="Q34" s="86"/>
      <c r="R34" s="86"/>
      <c r="S34" s="82"/>
      <c r="T34" s="82"/>
      <c r="U34" s="1"/>
      <c r="V34" s="8"/>
    </row>
    <row r="35" spans="2:23" ht="26.25" hidden="1" customHeight="1" x14ac:dyDescent="0.25">
      <c r="B35" s="176"/>
      <c r="C35" s="336"/>
      <c r="D35" s="336"/>
      <c r="E35" s="336"/>
      <c r="F35" s="336"/>
      <c r="G35" s="336"/>
      <c r="H35" s="336"/>
      <c r="I35" s="82"/>
      <c r="J35" s="83"/>
      <c r="K35" s="82"/>
      <c r="L35" s="84"/>
      <c r="M35" s="85"/>
      <c r="N35" s="86"/>
      <c r="O35" s="86"/>
      <c r="P35" s="405"/>
      <c r="Q35" s="86"/>
      <c r="R35" s="86"/>
      <c r="S35" s="82"/>
      <c r="T35" s="82"/>
      <c r="U35" s="1"/>
      <c r="V35" s="8"/>
    </row>
    <row r="36" spans="2:23" ht="23.25" customHeight="1" x14ac:dyDescent="0.2">
      <c r="B36" s="82" t="s">
        <v>86</v>
      </c>
      <c r="C36" s="82"/>
      <c r="D36" s="82"/>
      <c r="E36" s="82"/>
      <c r="F36" s="82"/>
      <c r="G36" s="82"/>
      <c r="H36" s="82"/>
      <c r="I36" s="82"/>
      <c r="J36" s="87"/>
      <c r="K36" s="82"/>
      <c r="L36" s="84"/>
      <c r="M36" s="82"/>
      <c r="N36" s="82"/>
      <c r="O36" s="82"/>
      <c r="P36" s="82"/>
      <c r="Q36" s="89">
        <f>J33</f>
        <v>38.630000000000003</v>
      </c>
      <c r="R36" s="82"/>
      <c r="S36" s="82"/>
      <c r="T36" s="82"/>
      <c r="U36" s="1"/>
      <c r="V36" s="90" t="s">
        <v>18</v>
      </c>
    </row>
    <row r="37" spans="2:23" ht="23.25" customHeight="1" x14ac:dyDescent="0.2">
      <c r="B37" s="91" t="s">
        <v>87</v>
      </c>
      <c r="C37" s="91"/>
      <c r="D37" s="91"/>
      <c r="E37" s="91"/>
      <c r="F37" s="91"/>
      <c r="G37" s="91"/>
      <c r="H37" s="91"/>
      <c r="I37" s="91"/>
      <c r="J37" s="91"/>
      <c r="K37" s="91"/>
      <c r="L37" s="92"/>
      <c r="M37" s="91"/>
      <c r="N37" s="91"/>
      <c r="O37" s="91"/>
      <c r="P37" s="91"/>
      <c r="Q37" s="89">
        <f>IF(H8&lt;=0,(""),IF(L31&gt;=6,(ROUND(J33,0)),(I31)))</f>
        <v>39</v>
      </c>
      <c r="R37" s="91"/>
      <c r="S37" s="91"/>
      <c r="T37" s="91"/>
      <c r="U37" s="1"/>
      <c r="V37" s="90" t="s">
        <v>18</v>
      </c>
    </row>
    <row r="38" spans="2:23" ht="23.25" customHeight="1" x14ac:dyDescent="0.2">
      <c r="B38" s="93" t="s">
        <v>21</v>
      </c>
      <c r="C38" s="1"/>
      <c r="D38" s="1"/>
      <c r="E38" s="1"/>
      <c r="F38" s="1"/>
      <c r="G38" s="1"/>
      <c r="H38" s="1"/>
      <c r="I38" s="1"/>
      <c r="J38" s="94"/>
      <c r="K38" s="1"/>
      <c r="L38" s="8"/>
      <c r="M38" s="1"/>
      <c r="N38" s="1"/>
      <c r="O38" s="1"/>
      <c r="P38" s="1"/>
      <c r="Q38" s="1"/>
      <c r="R38" s="1"/>
      <c r="S38" s="1"/>
      <c r="T38" s="1"/>
      <c r="U38" s="1"/>
      <c r="V38" s="8"/>
    </row>
    <row r="39" spans="2:23" ht="23.25" customHeight="1" x14ac:dyDescent="0.2">
      <c r="B39" s="95" t="s">
        <v>22</v>
      </c>
      <c r="C39" s="96"/>
      <c r="D39" s="96"/>
      <c r="E39" s="96"/>
      <c r="F39" s="96"/>
      <c r="G39" s="96"/>
      <c r="H39" s="96"/>
      <c r="I39" s="96"/>
      <c r="J39" s="97"/>
      <c r="K39" s="96"/>
      <c r="L39" s="98"/>
      <c r="M39" s="96"/>
      <c r="N39" s="96"/>
      <c r="O39" s="96"/>
      <c r="P39" s="96"/>
      <c r="Q39" s="99"/>
      <c r="R39" s="1"/>
      <c r="S39" s="1"/>
      <c r="T39" s="1"/>
      <c r="U39" s="1"/>
    </row>
    <row r="40" spans="2:23" ht="20.25" customHeight="1" x14ac:dyDescent="0.2">
      <c r="B40" s="100" t="s">
        <v>6</v>
      </c>
      <c r="C40" s="100" t="s">
        <v>7</v>
      </c>
      <c r="D40" s="100"/>
      <c r="E40" s="388" t="s">
        <v>23</v>
      </c>
      <c r="F40" s="1"/>
      <c r="G40" s="1"/>
      <c r="H40" s="474" t="s">
        <v>24</v>
      </c>
      <c r="I40" s="475"/>
      <c r="J40" s="102" t="s">
        <v>25</v>
      </c>
      <c r="K40" s="100"/>
      <c r="L40" s="476" t="s">
        <v>26</v>
      </c>
      <c r="M40" s="477"/>
      <c r="N40" s="100" t="s">
        <v>27</v>
      </c>
      <c r="O40" s="100" t="s">
        <v>27</v>
      </c>
      <c r="P40" s="100"/>
      <c r="Q40" s="100" t="s">
        <v>28</v>
      </c>
      <c r="R40" s="387"/>
      <c r="S40" s="387"/>
      <c r="T40" s="387"/>
      <c r="U40" s="104"/>
      <c r="V40" s="255"/>
      <c r="W40" s="256"/>
    </row>
    <row r="41" spans="2:23" ht="19.5" customHeight="1" x14ac:dyDescent="0.2">
      <c r="B41" s="257"/>
      <c r="C41" s="257"/>
      <c r="D41" s="258"/>
      <c r="E41" s="259">
        <f>IF(B41&gt;0,MONTH(C41-B41),0)</f>
        <v>0</v>
      </c>
      <c r="H41" s="565"/>
      <c r="I41" s="566"/>
      <c r="J41" s="398"/>
      <c r="K41" s="260"/>
      <c r="L41" s="573"/>
      <c r="M41" s="574"/>
      <c r="N41" s="261"/>
      <c r="O41" s="261"/>
      <c r="P41" s="111">
        <f>(H41+J41+L41)</f>
        <v>0</v>
      </c>
      <c r="Q41" s="111">
        <f>(H41-J41+L41)*E41</f>
        <v>0</v>
      </c>
      <c r="R41" s="112"/>
      <c r="S41" s="112"/>
      <c r="T41" s="112"/>
      <c r="U41" s="256"/>
      <c r="V41" s="255"/>
      <c r="W41" s="262"/>
    </row>
    <row r="42" spans="2:23" ht="19.5" customHeight="1" x14ac:dyDescent="0.2">
      <c r="B42" s="257">
        <v>40817</v>
      </c>
      <c r="C42" s="257">
        <v>40999</v>
      </c>
      <c r="D42" s="258"/>
      <c r="E42" s="263">
        <f t="shared" ref="E42:E53" si="9">IF(B42&gt;0,MONTH(C42-B42),0)</f>
        <v>6</v>
      </c>
      <c r="H42" s="565">
        <v>39630</v>
      </c>
      <c r="I42" s="566"/>
      <c r="J42" s="397"/>
      <c r="K42" s="260"/>
      <c r="L42" s="571"/>
      <c r="M42" s="572"/>
      <c r="N42" s="261"/>
      <c r="O42" s="261"/>
      <c r="P42" s="111">
        <f t="shared" ref="P42:P53" si="10">(H42+J42+L42)</f>
        <v>39630</v>
      </c>
      <c r="Q42" s="111">
        <f>(H42-J42+L42)*E42</f>
        <v>237780</v>
      </c>
      <c r="R42" s="112"/>
      <c r="S42" s="112"/>
      <c r="T42" s="112"/>
      <c r="U42" s="256"/>
      <c r="V42" s="255"/>
      <c r="W42" s="256"/>
    </row>
    <row r="43" spans="2:23" ht="19.5" customHeight="1" x14ac:dyDescent="0.2">
      <c r="B43" s="257">
        <v>41000</v>
      </c>
      <c r="C43" s="257">
        <v>41182</v>
      </c>
      <c r="D43" s="258"/>
      <c r="E43" s="263">
        <f t="shared" si="9"/>
        <v>6</v>
      </c>
      <c r="H43" s="565">
        <v>39630</v>
      </c>
      <c r="I43" s="566"/>
      <c r="J43" s="397"/>
      <c r="K43" s="260"/>
      <c r="L43" s="571"/>
      <c r="M43" s="572"/>
      <c r="N43" s="261"/>
      <c r="O43" s="261"/>
      <c r="P43" s="111">
        <f t="shared" si="10"/>
        <v>39630</v>
      </c>
      <c r="Q43" s="111">
        <f t="shared" ref="Q43:Q53" si="11">(H43-J43+L43)*E43</f>
        <v>237780</v>
      </c>
      <c r="R43" s="112"/>
      <c r="S43" s="112"/>
      <c r="T43" s="112"/>
      <c r="U43" s="256"/>
      <c r="V43" s="255"/>
      <c r="W43" s="256"/>
    </row>
    <row r="44" spans="2:23" ht="19.5" customHeight="1" x14ac:dyDescent="0.2">
      <c r="B44" s="257">
        <v>41183</v>
      </c>
      <c r="C44" s="257">
        <v>41364</v>
      </c>
      <c r="D44" s="258"/>
      <c r="E44" s="263">
        <f t="shared" si="9"/>
        <v>6</v>
      </c>
      <c r="H44" s="565">
        <v>39630</v>
      </c>
      <c r="I44" s="566"/>
      <c r="J44" s="397"/>
      <c r="K44" s="260"/>
      <c r="L44" s="571"/>
      <c r="M44" s="572"/>
      <c r="N44" s="261"/>
      <c r="O44" s="261"/>
      <c r="P44" s="111">
        <f t="shared" si="10"/>
        <v>39630</v>
      </c>
      <c r="Q44" s="111">
        <f t="shared" si="11"/>
        <v>237780</v>
      </c>
      <c r="R44" s="112"/>
      <c r="S44" s="112"/>
      <c r="T44" s="112"/>
      <c r="U44" s="256"/>
      <c r="V44" s="255"/>
      <c r="W44" s="256"/>
    </row>
    <row r="45" spans="2:23" ht="19.5" customHeight="1" x14ac:dyDescent="0.2">
      <c r="B45" s="257">
        <v>41365</v>
      </c>
      <c r="C45" s="257">
        <v>41547</v>
      </c>
      <c r="D45" s="258"/>
      <c r="E45" s="263">
        <f>IF(B45&gt;0,MONTH(C45-B45),0)</f>
        <v>6</v>
      </c>
      <c r="H45" s="565">
        <v>39630</v>
      </c>
      <c r="I45" s="566"/>
      <c r="J45" s="397"/>
      <c r="K45" s="260"/>
      <c r="L45" s="571"/>
      <c r="M45" s="572"/>
      <c r="N45" s="261"/>
      <c r="O45" s="261"/>
      <c r="P45" s="111">
        <f t="shared" si="10"/>
        <v>39630</v>
      </c>
      <c r="Q45" s="111">
        <f t="shared" si="11"/>
        <v>237780</v>
      </c>
      <c r="R45" s="112"/>
      <c r="S45" s="112"/>
      <c r="T45" s="112"/>
      <c r="U45" s="256"/>
      <c r="V45" s="255"/>
      <c r="W45" s="256"/>
    </row>
    <row r="46" spans="2:23" ht="19.5" customHeight="1" x14ac:dyDescent="0.2">
      <c r="B46" s="257">
        <v>41548</v>
      </c>
      <c r="C46" s="257">
        <v>41729</v>
      </c>
      <c r="D46" s="258"/>
      <c r="E46" s="263">
        <f>IF(B46&gt;0,MONTH(C46-B46),0)</f>
        <v>6</v>
      </c>
      <c r="H46" s="565">
        <v>39630</v>
      </c>
      <c r="I46" s="566"/>
      <c r="J46" s="397"/>
      <c r="K46" s="260"/>
      <c r="L46" s="571"/>
      <c r="M46" s="572"/>
      <c r="N46" s="261"/>
      <c r="O46" s="261"/>
      <c r="P46" s="111">
        <f t="shared" si="10"/>
        <v>39630</v>
      </c>
      <c r="Q46" s="111">
        <f t="shared" si="11"/>
        <v>237780</v>
      </c>
      <c r="R46" s="112"/>
      <c r="S46" s="112"/>
      <c r="T46" s="112"/>
      <c r="U46" s="256"/>
      <c r="V46" s="255"/>
      <c r="W46" s="256"/>
    </row>
    <row r="47" spans="2:23" ht="19.5" customHeight="1" x14ac:dyDescent="0.2">
      <c r="B47" s="257">
        <v>41730</v>
      </c>
      <c r="C47" s="257">
        <v>41912</v>
      </c>
      <c r="D47" s="258"/>
      <c r="E47" s="263">
        <f>IF(B47&gt;0,MONTH(C47-B47),0)</f>
        <v>6</v>
      </c>
      <c r="H47" s="565">
        <v>39630</v>
      </c>
      <c r="I47" s="566"/>
      <c r="J47" s="397"/>
      <c r="K47" s="260"/>
      <c r="L47" s="571"/>
      <c r="M47" s="572"/>
      <c r="N47" s="261"/>
      <c r="O47" s="261"/>
      <c r="P47" s="111">
        <f t="shared" si="10"/>
        <v>39630</v>
      </c>
      <c r="Q47" s="111">
        <f t="shared" si="11"/>
        <v>237780</v>
      </c>
      <c r="R47" s="112"/>
      <c r="S47" s="112"/>
      <c r="T47" s="112"/>
      <c r="U47" s="256"/>
      <c r="V47" s="255"/>
      <c r="W47" s="256"/>
    </row>
    <row r="48" spans="2:23" ht="19.5" customHeight="1" x14ac:dyDescent="0.2">
      <c r="B48" s="257">
        <v>41913</v>
      </c>
      <c r="C48" s="257">
        <v>42094</v>
      </c>
      <c r="D48" s="258"/>
      <c r="E48" s="263">
        <f>IF(B48&gt;0,MONTH(C48-B48),0)</f>
        <v>6</v>
      </c>
      <c r="H48" s="565">
        <v>39630</v>
      </c>
      <c r="I48" s="566"/>
      <c r="J48" s="397"/>
      <c r="K48" s="260"/>
      <c r="L48" s="571"/>
      <c r="M48" s="572"/>
      <c r="N48" s="261"/>
      <c r="O48" s="261"/>
      <c r="P48" s="111">
        <f t="shared" si="10"/>
        <v>39630</v>
      </c>
      <c r="Q48" s="111">
        <f t="shared" si="11"/>
        <v>237780</v>
      </c>
      <c r="R48" s="112"/>
      <c r="S48" s="112"/>
      <c r="T48" s="112"/>
      <c r="U48" s="256"/>
      <c r="V48" s="255"/>
      <c r="W48" s="256"/>
    </row>
    <row r="49" spans="2:23" ht="19.5" customHeight="1" x14ac:dyDescent="0.2">
      <c r="B49" s="257">
        <v>42095</v>
      </c>
      <c r="C49" s="257">
        <v>42277</v>
      </c>
      <c r="D49" s="258"/>
      <c r="E49" s="263">
        <f>IF(B49&gt;0,MONTH(C49-B49),0)</f>
        <v>6</v>
      </c>
      <c r="H49" s="565">
        <v>39630</v>
      </c>
      <c r="I49" s="566"/>
      <c r="J49" s="397"/>
      <c r="K49" s="260"/>
      <c r="L49" s="567"/>
      <c r="M49" s="568"/>
      <c r="N49" s="261"/>
      <c r="O49" s="261"/>
      <c r="P49" s="111">
        <f t="shared" si="10"/>
        <v>39630</v>
      </c>
      <c r="Q49" s="111">
        <f t="shared" si="11"/>
        <v>237780</v>
      </c>
      <c r="R49" s="112"/>
      <c r="S49" s="112"/>
      <c r="T49" s="112"/>
      <c r="U49" s="256"/>
      <c r="V49" s="255"/>
      <c r="W49" s="256"/>
    </row>
    <row r="50" spans="2:23" ht="19.5" customHeight="1" x14ac:dyDescent="0.2">
      <c r="B50" s="257">
        <v>42278</v>
      </c>
      <c r="C50" s="257">
        <v>42460</v>
      </c>
      <c r="D50" s="258"/>
      <c r="E50" s="263">
        <f t="shared" si="9"/>
        <v>6</v>
      </c>
      <c r="H50" s="565">
        <v>39630</v>
      </c>
      <c r="I50" s="566"/>
      <c r="J50" s="397"/>
      <c r="K50" s="260"/>
      <c r="L50" s="567"/>
      <c r="M50" s="568"/>
      <c r="N50" s="261"/>
      <c r="O50" s="261"/>
      <c r="P50" s="111">
        <f t="shared" si="10"/>
        <v>39630</v>
      </c>
      <c r="Q50" s="111">
        <f t="shared" si="11"/>
        <v>237780</v>
      </c>
      <c r="R50" s="112"/>
      <c r="S50" s="112"/>
      <c r="T50" s="112"/>
      <c r="U50" s="256"/>
      <c r="V50" s="255"/>
      <c r="W50" s="256"/>
    </row>
    <row r="51" spans="2:23" ht="19.5" customHeight="1" x14ac:dyDescent="0.2">
      <c r="B51" s="257">
        <v>42461</v>
      </c>
      <c r="C51" s="257">
        <v>42613</v>
      </c>
      <c r="D51" s="264"/>
      <c r="E51" s="263">
        <f t="shared" si="9"/>
        <v>5</v>
      </c>
      <c r="H51" s="565">
        <v>39630</v>
      </c>
      <c r="I51" s="566"/>
      <c r="J51" s="396"/>
      <c r="K51" s="260"/>
      <c r="L51" s="567"/>
      <c r="M51" s="568"/>
      <c r="N51" s="261"/>
      <c r="O51" s="261"/>
      <c r="P51" s="111">
        <f t="shared" si="10"/>
        <v>39630</v>
      </c>
      <c r="Q51" s="111">
        <f t="shared" si="11"/>
        <v>198150</v>
      </c>
      <c r="R51" s="112"/>
      <c r="S51" s="112"/>
      <c r="T51" s="112"/>
      <c r="U51" s="256"/>
      <c r="V51" s="255"/>
      <c r="W51" s="256"/>
    </row>
    <row r="52" spans="2:23" ht="19.5" customHeight="1" x14ac:dyDescent="0.2">
      <c r="B52" s="257">
        <v>42614</v>
      </c>
      <c r="C52" s="257">
        <v>42643</v>
      </c>
      <c r="D52" s="264"/>
      <c r="E52" s="263">
        <f t="shared" si="9"/>
        <v>1</v>
      </c>
      <c r="H52" s="565">
        <v>39630</v>
      </c>
      <c r="I52" s="566"/>
      <c r="J52" s="396"/>
      <c r="K52" s="260"/>
      <c r="L52" s="567"/>
      <c r="M52" s="568"/>
      <c r="N52" s="261"/>
      <c r="O52" s="261"/>
      <c r="P52" s="111">
        <f t="shared" si="10"/>
        <v>39630</v>
      </c>
      <c r="Q52" s="111">
        <f t="shared" si="11"/>
        <v>39630</v>
      </c>
      <c r="R52" s="112"/>
      <c r="S52" s="112"/>
      <c r="T52" s="112"/>
      <c r="U52" s="256"/>
      <c r="V52" s="255"/>
      <c r="W52" s="256"/>
    </row>
    <row r="53" spans="2:23" ht="19.5" customHeight="1" x14ac:dyDescent="0.2">
      <c r="B53" s="257"/>
      <c r="C53" s="257"/>
      <c r="D53" s="265"/>
      <c r="E53" s="266">
        <f t="shared" si="9"/>
        <v>0</v>
      </c>
      <c r="H53" s="569"/>
      <c r="I53" s="570"/>
      <c r="J53" s="267"/>
      <c r="K53" s="260"/>
      <c r="L53" s="567"/>
      <c r="M53" s="568"/>
      <c r="N53" s="261"/>
      <c r="O53" s="261"/>
      <c r="P53" s="111">
        <f t="shared" si="10"/>
        <v>0</v>
      </c>
      <c r="Q53" s="111">
        <f t="shared" si="11"/>
        <v>0</v>
      </c>
      <c r="R53" s="112"/>
      <c r="S53" s="112"/>
      <c r="T53" s="112"/>
      <c r="U53" s="256"/>
      <c r="V53" s="255"/>
      <c r="W53" s="256"/>
    </row>
    <row r="54" spans="2:23" ht="24" customHeight="1" x14ac:dyDescent="0.2">
      <c r="B54" s="459" t="s">
        <v>29</v>
      </c>
      <c r="C54" s="460"/>
      <c r="D54" s="125"/>
      <c r="E54" s="392">
        <f>SUM(E41:E53)</f>
        <v>60</v>
      </c>
      <c r="F54" s="125"/>
      <c r="G54" s="125"/>
      <c r="H54" s="127" t="s">
        <v>30</v>
      </c>
      <c r="I54" s="104"/>
      <c r="J54" s="128"/>
      <c r="K54" s="390"/>
      <c r="L54" s="130"/>
      <c r="M54" s="131"/>
      <c r="N54" s="132"/>
      <c r="O54" s="132"/>
      <c r="P54" s="133"/>
      <c r="Q54" s="134">
        <f>SUM(Q41:Q53)</f>
        <v>2377800</v>
      </c>
      <c r="R54" s="112"/>
      <c r="S54" s="112"/>
      <c r="T54" s="112"/>
      <c r="U54" s="256"/>
      <c r="V54" s="255"/>
      <c r="W54" s="256"/>
    </row>
    <row r="55" spans="2:23" ht="30.75" hidden="1" customHeight="1" x14ac:dyDescent="0.2">
      <c r="B55" s="135"/>
      <c r="C55" s="136"/>
      <c r="D55" s="136"/>
      <c r="E55" s="461" t="s">
        <v>31</v>
      </c>
      <c r="F55" s="461"/>
      <c r="G55" s="461"/>
      <c r="H55" s="461"/>
      <c r="I55" s="461"/>
      <c r="J55" s="461"/>
      <c r="K55" s="461"/>
      <c r="L55" s="461"/>
      <c r="M55" s="462"/>
      <c r="N55" s="91"/>
      <c r="O55" s="91"/>
      <c r="P55" s="91"/>
      <c r="Q55" s="137">
        <f>Q54/60</f>
        <v>39630</v>
      </c>
      <c r="R55" s="112"/>
      <c r="S55" s="112"/>
      <c r="T55" s="112"/>
    </row>
    <row r="56" spans="2:23" ht="23.25" customHeight="1" x14ac:dyDescent="0.2">
      <c r="B56" s="135"/>
      <c r="C56" s="138" t="s">
        <v>88</v>
      </c>
      <c r="D56" s="138"/>
      <c r="E56" s="104"/>
      <c r="F56" s="138"/>
      <c r="G56" s="138"/>
      <c r="H56" s="139">
        <f>IF(Q54&gt;0,(Q54),"")</f>
        <v>2377800</v>
      </c>
      <c r="I56" s="138" t="s">
        <v>33</v>
      </c>
      <c r="J56" s="140" t="s">
        <v>34</v>
      </c>
      <c r="K56" s="138"/>
      <c r="L56" s="138" t="s">
        <v>35</v>
      </c>
      <c r="M56" s="141"/>
      <c r="N56" s="91"/>
      <c r="O56" s="91"/>
      <c r="P56" s="91"/>
      <c r="Q56" s="132">
        <f>ROUND(Q55,2)</f>
        <v>39630</v>
      </c>
      <c r="R56" s="112"/>
      <c r="S56" s="112"/>
      <c r="T56" s="112"/>
    </row>
    <row r="57" spans="2:23" ht="39.75" hidden="1" customHeight="1" x14ac:dyDescent="0.2">
      <c r="B57" s="135"/>
      <c r="C57" s="142" t="s">
        <v>36</v>
      </c>
      <c r="D57" s="142"/>
      <c r="E57" s="104"/>
      <c r="F57" s="142"/>
      <c r="G57" s="142"/>
      <c r="H57" s="139">
        <f t="shared" ref="H57" si="12">Q55</f>
        <v>39630</v>
      </c>
      <c r="I57" s="142"/>
      <c r="J57" s="142"/>
      <c r="K57" s="142"/>
      <c r="L57" s="138" t="s">
        <v>37</v>
      </c>
      <c r="M57" s="143"/>
      <c r="N57" s="91"/>
      <c r="O57" s="91"/>
      <c r="P57" s="91"/>
      <c r="Q57" s="144">
        <f>Q56*70%</f>
        <v>27741</v>
      </c>
      <c r="R57" s="145"/>
      <c r="S57" s="145"/>
      <c r="T57" s="145"/>
    </row>
    <row r="58" spans="2:23" ht="21.75" customHeight="1" x14ac:dyDescent="0.2">
      <c r="B58" s="146"/>
      <c r="C58" s="147" t="s">
        <v>89</v>
      </c>
      <c r="D58" s="147"/>
      <c r="E58" s="148"/>
      <c r="F58" s="147"/>
      <c r="G58" s="147"/>
      <c r="H58" s="149">
        <f>IF(Q56&gt;0,(Q56),"")</f>
        <v>39630</v>
      </c>
      <c r="I58" s="147" t="s">
        <v>39</v>
      </c>
      <c r="J58" s="147" t="s">
        <v>40</v>
      </c>
      <c r="K58" s="147"/>
      <c r="L58" s="150" t="s">
        <v>35</v>
      </c>
      <c r="M58" s="151"/>
      <c r="N58" s="91"/>
      <c r="O58" s="91"/>
      <c r="P58" s="91"/>
      <c r="Q58" s="152">
        <f>ROUND(Q57, 2)</f>
        <v>27741</v>
      </c>
      <c r="R58" s="145"/>
      <c r="S58" s="145"/>
      <c r="T58" s="145"/>
    </row>
    <row r="59" spans="2:23" ht="15.75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1"/>
      <c r="O59" s="91"/>
      <c r="P59" s="91"/>
      <c r="Q59" s="91"/>
      <c r="R59" s="269"/>
      <c r="S59" s="269"/>
      <c r="T59" s="269"/>
    </row>
    <row r="60" spans="2:23" ht="20.25" customHeight="1" x14ac:dyDescent="0.2">
      <c r="B60" s="153" t="s">
        <v>41</v>
      </c>
      <c r="C60" s="154"/>
      <c r="D60" s="154"/>
      <c r="E60" s="155" t="s">
        <v>35</v>
      </c>
      <c r="F60" s="155"/>
      <c r="G60" s="155"/>
      <c r="H60" s="156" t="s">
        <v>90</v>
      </c>
      <c r="I60" s="156"/>
      <c r="J60" s="156"/>
      <c r="K60" s="156"/>
      <c r="L60" s="157"/>
      <c r="M60" s="156"/>
      <c r="N60" s="156"/>
      <c r="O60" s="156"/>
      <c r="P60" s="156"/>
      <c r="Q60" s="158"/>
      <c r="R60" s="91"/>
      <c r="S60" s="91"/>
      <c r="T60" s="91"/>
    </row>
    <row r="61" spans="2:23" ht="20.25" customHeight="1" x14ac:dyDescent="0.2">
      <c r="B61" s="135"/>
      <c r="C61" s="136"/>
      <c r="D61" s="136"/>
      <c r="E61" s="387" t="s">
        <v>35</v>
      </c>
      <c r="F61" s="387"/>
      <c r="G61" s="387"/>
      <c r="H61" s="145">
        <f>IF(Q56&gt;0,(Q56),(""))</f>
        <v>39630</v>
      </c>
      <c r="I61" s="145" t="s">
        <v>39</v>
      </c>
      <c r="J61" s="159">
        <f>J33</f>
        <v>38.630000000000003</v>
      </c>
      <c r="K61" s="387"/>
      <c r="L61" s="160" t="s">
        <v>33</v>
      </c>
      <c r="M61" s="140">
        <f>50</f>
        <v>50</v>
      </c>
      <c r="N61" s="136"/>
      <c r="O61" s="136"/>
      <c r="P61" s="136"/>
      <c r="Q61" s="161"/>
      <c r="R61" s="91"/>
      <c r="S61" s="91"/>
      <c r="T61" s="91"/>
    </row>
    <row r="62" spans="2:23" ht="20.25" customHeight="1" x14ac:dyDescent="0.2">
      <c r="B62" s="135"/>
      <c r="C62" s="136"/>
      <c r="D62" s="136"/>
      <c r="E62" s="387" t="s">
        <v>35</v>
      </c>
      <c r="F62" s="162">
        <f>IF(E6&gt;0,(H61*J61/M61),(""))</f>
        <v>30618.138000000003</v>
      </c>
      <c r="G62" s="163">
        <f>IF(E6&gt;0,ROUND(F62,2),"")</f>
        <v>30618.14</v>
      </c>
      <c r="H62" s="164">
        <f>IF(Q56&gt;0,(G62),"")</f>
        <v>30618.14</v>
      </c>
      <c r="I62" s="162" t="s">
        <v>43</v>
      </c>
      <c r="J62" s="136"/>
      <c r="K62" s="136"/>
      <c r="L62" s="165"/>
      <c r="M62" s="136"/>
      <c r="N62" s="136"/>
      <c r="O62" s="136"/>
      <c r="P62" s="136"/>
      <c r="Q62" s="161"/>
      <c r="R62" s="91"/>
      <c r="S62" s="91"/>
      <c r="T62" s="91"/>
    </row>
    <row r="63" spans="2:23" ht="20.25" customHeight="1" x14ac:dyDescent="0.2">
      <c r="B63" s="135" t="s">
        <v>44</v>
      </c>
      <c r="C63" s="136"/>
      <c r="D63" s="136"/>
      <c r="E63" s="387"/>
      <c r="F63" s="387"/>
      <c r="G63" s="387"/>
      <c r="H63" s="136"/>
      <c r="I63" s="136"/>
      <c r="J63" s="136"/>
      <c r="K63" s="136"/>
      <c r="L63" s="165"/>
      <c r="M63" s="136"/>
      <c r="N63" s="136"/>
      <c r="O63" s="136"/>
      <c r="P63" s="136"/>
      <c r="Q63" s="161"/>
      <c r="R63" s="91"/>
      <c r="S63" s="91"/>
      <c r="T63" s="91"/>
    </row>
    <row r="64" spans="2:23" ht="20.25" customHeight="1" x14ac:dyDescent="0.2">
      <c r="B64" s="166" t="s">
        <v>201</v>
      </c>
      <c r="C64" s="167"/>
      <c r="D64" s="167"/>
      <c r="E64" s="168"/>
      <c r="F64" s="168"/>
      <c r="G64" s="168"/>
      <c r="H64" s="169">
        <f>IF(E6&gt;0,IF(H62&lt;Q58,G62,Q58),(""))</f>
        <v>27741</v>
      </c>
      <c r="I64" s="170" t="s">
        <v>43</v>
      </c>
      <c r="J64" s="170"/>
      <c r="K64" s="170"/>
      <c r="L64" s="171"/>
      <c r="M64" s="170"/>
      <c r="N64" s="170"/>
      <c r="O64" s="170"/>
      <c r="P64" s="170"/>
      <c r="Q64" s="172"/>
      <c r="R64" s="91"/>
      <c r="S64" s="91"/>
      <c r="T64" s="91"/>
    </row>
    <row r="65" spans="2:30" ht="15" customHeight="1" x14ac:dyDescent="0.2">
      <c r="B65" s="91"/>
      <c r="C65" s="91"/>
      <c r="D65" s="91"/>
      <c r="E65" s="173"/>
      <c r="F65" s="173"/>
      <c r="G65" s="173"/>
      <c r="H65" s="174"/>
      <c r="I65" s="174"/>
      <c r="J65" s="91"/>
      <c r="K65" s="91"/>
      <c r="L65" s="92"/>
      <c r="M65" s="91"/>
      <c r="N65" s="91"/>
      <c r="O65" s="91"/>
      <c r="P65" s="91"/>
      <c r="Q65" s="91"/>
      <c r="R65" s="91"/>
      <c r="S65" s="91"/>
      <c r="T65" s="91"/>
    </row>
    <row r="66" spans="2:30" ht="20.25" customHeight="1" x14ac:dyDescent="0.2">
      <c r="B66" s="153" t="s">
        <v>186</v>
      </c>
      <c r="C66" s="154"/>
      <c r="D66" s="154"/>
      <c r="E66" s="155"/>
      <c r="F66" s="155"/>
      <c r="G66" s="155"/>
      <c r="H66" s="156" t="s">
        <v>45</v>
      </c>
      <c r="I66" s="156"/>
      <c r="J66" s="156"/>
      <c r="K66" s="156"/>
      <c r="L66" s="157"/>
      <c r="M66" s="156"/>
      <c r="N66" s="156"/>
      <c r="O66" s="156"/>
      <c r="P66" s="156"/>
      <c r="Q66" s="158"/>
      <c r="R66" s="91"/>
      <c r="S66" s="91"/>
      <c r="T66" s="91"/>
    </row>
    <row r="67" spans="2:30" ht="20.25" customHeight="1" x14ac:dyDescent="0.2">
      <c r="B67" s="270"/>
      <c r="C67" s="271"/>
      <c r="D67" s="271"/>
      <c r="E67" s="387" t="s">
        <v>184</v>
      </c>
      <c r="F67" s="387"/>
      <c r="G67" s="387"/>
      <c r="H67" s="145">
        <f>IF(H53&gt;0,P53,IF(H52&gt;0,P52,IF(H51&gt;0,P51,IF(H50&gt;0,P50,IF(H49&gt;0,P49,IF(H48&gt;0,P48,IF(H47&gt;0,P47,IF(H46&gt;0,P46,IF(H45&gt;0,P45,IF(H44&gt;0,P44,IF(H43&gt;0,P43,IF(H42&gt;0,P42,IF(H41&gt;0,P41,(0))))))))))))))</f>
        <v>39630</v>
      </c>
      <c r="I67" s="387" t="s">
        <v>39</v>
      </c>
      <c r="J67" s="145">
        <f>IF(E6&gt;0,(ROUND(J33,0)),(""))</f>
        <v>39</v>
      </c>
      <c r="K67" s="136"/>
      <c r="L67" s="160" t="s">
        <v>33</v>
      </c>
      <c r="M67" s="140">
        <v>50</v>
      </c>
      <c r="N67" s="136"/>
      <c r="O67" s="136"/>
      <c r="P67" s="136"/>
      <c r="Q67" s="161"/>
      <c r="R67" s="91"/>
      <c r="S67" s="91"/>
      <c r="T67" s="91"/>
    </row>
    <row r="68" spans="2:30" ht="20.25" customHeight="1" x14ac:dyDescent="0.2">
      <c r="B68" s="135"/>
      <c r="C68" s="136"/>
      <c r="D68" s="136"/>
      <c r="E68" s="387" t="s">
        <v>184</v>
      </c>
      <c r="F68" s="387"/>
      <c r="G68" s="387"/>
      <c r="H68" s="175">
        <f>IF(E6&gt;0,(ROUND((H67*J67/M67),2)),(""))</f>
        <v>30911.4</v>
      </c>
      <c r="I68" s="136" t="s">
        <v>43</v>
      </c>
      <c r="J68" s="136"/>
      <c r="K68" s="136"/>
      <c r="L68" s="165"/>
      <c r="M68" s="136"/>
      <c r="N68" s="136"/>
      <c r="O68" s="136"/>
      <c r="P68" s="136"/>
      <c r="Q68" s="161"/>
      <c r="R68" s="91"/>
      <c r="S68" s="91"/>
      <c r="T68" s="91"/>
    </row>
    <row r="69" spans="2:30" ht="20.25" customHeight="1" x14ac:dyDescent="0.2">
      <c r="B69" s="176" t="s">
        <v>173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5"/>
      <c r="M69" s="104"/>
      <c r="N69" s="104"/>
      <c r="O69" s="104"/>
      <c r="P69" s="104"/>
      <c r="Q69" s="177"/>
    </row>
    <row r="70" spans="2:30" ht="27" customHeight="1" x14ac:dyDescent="0.2">
      <c r="B70" s="166" t="s">
        <v>200</v>
      </c>
      <c r="C70" s="178"/>
      <c r="D70" s="178"/>
      <c r="E70" s="178"/>
      <c r="F70" s="178"/>
      <c r="G70" s="178"/>
      <c r="H70" s="179">
        <f>IF(E6&gt;0,IF((H68&lt;(H67)),(H68),H67),(""))</f>
        <v>30911.4</v>
      </c>
      <c r="I70" s="170" t="s">
        <v>43</v>
      </c>
      <c r="J70" s="178"/>
      <c r="K70" s="178"/>
      <c r="L70" s="180"/>
      <c r="M70" s="178"/>
      <c r="N70" s="178"/>
      <c r="O70" s="178"/>
      <c r="P70" s="178"/>
      <c r="Q70" s="181"/>
    </row>
    <row r="71" spans="2:30" ht="21.75" customHeight="1" x14ac:dyDescent="0.25">
      <c r="B71" s="182" t="s">
        <v>47</v>
      </c>
      <c r="C71" s="182"/>
      <c r="D71" s="182"/>
      <c r="E71" s="85"/>
      <c r="F71" s="85"/>
      <c r="G71" s="85"/>
      <c r="H71" s="85"/>
      <c r="I71" s="85"/>
      <c r="J71" s="85"/>
      <c r="K71" s="85"/>
      <c r="L71" s="183"/>
      <c r="M71" s="85"/>
      <c r="N71" s="85"/>
      <c r="O71" s="85"/>
      <c r="P71" s="85"/>
      <c r="Q71" s="85"/>
      <c r="R71" s="85"/>
      <c r="S71" s="85"/>
      <c r="T71" s="85"/>
    </row>
    <row r="72" spans="2:30" ht="25.5" customHeight="1" x14ac:dyDescent="0.25">
      <c r="B72" s="184" t="s">
        <v>187</v>
      </c>
      <c r="C72" s="185"/>
      <c r="D72" s="185"/>
      <c r="E72" s="185"/>
      <c r="F72" s="185"/>
      <c r="G72" s="185"/>
      <c r="H72" s="186">
        <f>IF(H70&gt;0,(H70),"")</f>
        <v>30911.4</v>
      </c>
      <c r="I72" s="187" t="s">
        <v>48</v>
      </c>
      <c r="J72" s="186">
        <f>IF(H64&gt;0,(H64),"")</f>
        <v>27741</v>
      </c>
      <c r="K72" s="185"/>
      <c r="L72" s="188" t="s">
        <v>49</v>
      </c>
      <c r="M72" s="189">
        <f>IF(E6&gt;0,($H$70-$H$64),"")</f>
        <v>3170.4000000000015</v>
      </c>
      <c r="N72" s="190"/>
      <c r="O72" s="190"/>
      <c r="P72" s="190"/>
      <c r="Q72" s="191" t="s">
        <v>50</v>
      </c>
      <c r="R72" s="192"/>
      <c r="S72" s="192"/>
      <c r="T72" s="192"/>
      <c r="U72" s="1"/>
    </row>
    <row r="73" spans="2:30" ht="25.5" customHeight="1" x14ac:dyDescent="0.25">
      <c r="B73" s="463" t="s">
        <v>174</v>
      </c>
      <c r="C73" s="464"/>
      <c r="D73" s="464"/>
      <c r="E73" s="464"/>
      <c r="F73" s="464"/>
      <c r="G73" s="464"/>
      <c r="H73" s="464"/>
      <c r="I73" s="464"/>
      <c r="J73" s="464"/>
      <c r="K73" s="464"/>
      <c r="L73" s="465"/>
      <c r="M73" s="272">
        <v>697031.93</v>
      </c>
      <c r="N73" s="273"/>
      <c r="O73" s="273"/>
      <c r="P73" s="273"/>
      <c r="Q73" s="191" t="s">
        <v>51</v>
      </c>
      <c r="R73" s="192"/>
      <c r="S73" s="192"/>
      <c r="T73" s="192"/>
      <c r="U73" s="1"/>
    </row>
    <row r="74" spans="2:30" s="1" customFormat="1" ht="21.75" customHeight="1" x14ac:dyDescent="0.25">
      <c r="B74" s="194" t="s">
        <v>215</v>
      </c>
      <c r="C74" s="185"/>
      <c r="D74" s="185"/>
      <c r="E74" s="274"/>
      <c r="F74" s="185"/>
      <c r="G74" s="185"/>
      <c r="H74" s="186">
        <f>IF(M72&gt;0,(M72),"")</f>
        <v>3170.4000000000015</v>
      </c>
      <c r="I74" s="185" t="s">
        <v>53</v>
      </c>
      <c r="J74" s="274"/>
      <c r="K74" s="185"/>
      <c r="L74" s="185"/>
      <c r="M74" s="195">
        <f>IF(M72&gt;0,(M75)," ")</f>
        <v>18.32</v>
      </c>
      <c r="N74" s="418"/>
      <c r="O74" s="190"/>
      <c r="P74" s="419"/>
      <c r="Q74" s="418" t="s">
        <v>217</v>
      </c>
      <c r="R74" s="196"/>
      <c r="S74" s="196"/>
      <c r="T74" s="196"/>
      <c r="V74" s="235"/>
      <c r="W74" s="233"/>
      <c r="X74" s="233"/>
      <c r="Y74" s="233"/>
      <c r="Z74" s="233"/>
      <c r="AA74" s="233"/>
      <c r="AB74" s="233"/>
      <c r="AC74" s="233"/>
      <c r="AD74" s="233"/>
    </row>
    <row r="75" spans="2:30" s="1" customFormat="1" ht="24" hidden="1" customHeight="1" x14ac:dyDescent="0.2">
      <c r="E75" s="391"/>
      <c r="F75" s="391"/>
      <c r="G75" s="391"/>
      <c r="H75" s="424"/>
      <c r="I75" s="420" t="s">
        <v>53</v>
      </c>
      <c r="L75" s="8"/>
      <c r="M75" s="275">
        <f>IF(E6&gt;0,ROUND(($M$73/$M$72)/12,2),"")</f>
        <v>18.32</v>
      </c>
      <c r="Q75" s="421" t="s">
        <v>216</v>
      </c>
      <c r="V75" s="8"/>
    </row>
    <row r="76" spans="2:30" s="1" customFormat="1" ht="21" customHeight="1" x14ac:dyDescent="0.2">
      <c r="B76" s="422" t="s">
        <v>218</v>
      </c>
      <c r="C76" s="423"/>
      <c r="D76" s="423"/>
      <c r="E76" s="423"/>
      <c r="F76" s="423"/>
      <c r="G76" s="423"/>
      <c r="H76" s="186">
        <f>IF(M72&gt;0,(M72),"")</f>
        <v>3170.4000000000015</v>
      </c>
      <c r="I76" s="185" t="s">
        <v>53</v>
      </c>
      <c r="J76" s="423"/>
      <c r="K76" s="423"/>
      <c r="L76" s="423"/>
      <c r="M76" s="195">
        <f>IF(M72&gt;0,(M75),"")</f>
        <v>18.32</v>
      </c>
      <c r="N76" s="423"/>
      <c r="O76" s="423"/>
      <c r="P76" s="423"/>
      <c r="Q76" s="418" t="s">
        <v>219</v>
      </c>
      <c r="V76" s="8"/>
    </row>
    <row r="77" spans="2:30" s="1" customFormat="1" ht="40.5" customHeight="1" x14ac:dyDescent="0.65">
      <c r="B77" s="199" t="s">
        <v>55</v>
      </c>
      <c r="E77" s="391"/>
      <c r="F77" s="391"/>
      <c r="G77" s="391"/>
      <c r="H77" s="198"/>
      <c r="I77" s="198"/>
      <c r="L77" s="8"/>
      <c r="V77" s="8"/>
    </row>
    <row r="78" spans="2:30" s="1" customFormat="1" ht="30.75" customHeight="1" x14ac:dyDescent="0.65">
      <c r="B78" s="276" t="s">
        <v>56</v>
      </c>
      <c r="C78" s="208"/>
      <c r="D78" s="208"/>
      <c r="E78" s="208"/>
      <c r="F78" s="208"/>
      <c r="G78" s="208"/>
      <c r="H78" s="208"/>
      <c r="I78" s="208"/>
      <c r="J78" s="208"/>
      <c r="K78" s="209"/>
      <c r="L78" s="210"/>
      <c r="M78" s="209"/>
      <c r="N78" s="209"/>
      <c r="O78" s="209"/>
      <c r="P78" s="209"/>
      <c r="Q78" s="209"/>
      <c r="V78" s="8"/>
    </row>
    <row r="79" spans="2:30" s="1" customFormat="1" ht="30.75" customHeight="1" x14ac:dyDescent="0.65">
      <c r="B79" s="276" t="s">
        <v>57</v>
      </c>
      <c r="C79" s="276"/>
      <c r="D79" s="276"/>
      <c r="E79" s="276"/>
      <c r="F79" s="276"/>
      <c r="G79" s="276"/>
      <c r="H79" s="276"/>
      <c r="I79" s="276"/>
      <c r="J79" s="276"/>
      <c r="K79" s="209"/>
      <c r="L79" s="210"/>
      <c r="M79" s="209"/>
      <c r="N79" s="209"/>
      <c r="O79" s="209"/>
      <c r="P79" s="209"/>
      <c r="Q79" s="209"/>
      <c r="V79" s="8"/>
    </row>
    <row r="80" spans="2:30" ht="30.75" customHeight="1" x14ac:dyDescent="0.65">
      <c r="B80" s="276" t="s">
        <v>58</v>
      </c>
      <c r="C80" s="276"/>
      <c r="D80" s="276"/>
      <c r="E80" s="276"/>
      <c r="F80" s="276"/>
      <c r="G80" s="276"/>
      <c r="H80" s="276"/>
      <c r="I80" s="276"/>
      <c r="J80" s="276"/>
      <c r="K80" s="209"/>
      <c r="L80" s="210"/>
      <c r="M80" s="209"/>
      <c r="N80" s="209"/>
      <c r="O80" s="209"/>
      <c r="P80" s="209"/>
      <c r="Q80" s="209"/>
      <c r="R80" s="1"/>
      <c r="S80" s="1"/>
      <c r="T80" s="1"/>
      <c r="U80" s="1"/>
      <c r="V80" s="8"/>
    </row>
    <row r="81" spans="2:22" ht="30.75" customHeight="1" x14ac:dyDescent="0.65">
      <c r="B81" s="276" t="s">
        <v>59</v>
      </c>
      <c r="C81" s="276"/>
      <c r="D81" s="276"/>
      <c r="E81" s="276"/>
      <c r="F81" s="276"/>
      <c r="G81" s="276"/>
      <c r="H81" s="276"/>
      <c r="I81" s="276"/>
      <c r="J81" s="276"/>
      <c r="K81" s="209"/>
      <c r="L81" s="210"/>
      <c r="M81" s="209"/>
      <c r="N81" s="209"/>
      <c r="O81" s="209"/>
      <c r="P81" s="209"/>
      <c r="Q81" s="209"/>
      <c r="R81" s="1"/>
      <c r="S81" s="1"/>
      <c r="T81" s="1"/>
      <c r="U81" s="1"/>
      <c r="V81" s="8"/>
    </row>
    <row r="82" spans="2:22" ht="30.75" customHeight="1" x14ac:dyDescent="0.65">
      <c r="B82" s="276" t="s">
        <v>60</v>
      </c>
      <c r="C82" s="276"/>
      <c r="D82" s="276"/>
      <c r="E82" s="276"/>
      <c r="F82" s="276"/>
      <c r="G82" s="276"/>
      <c r="H82" s="276"/>
      <c r="I82" s="276"/>
      <c r="J82" s="276"/>
      <c r="K82" s="209"/>
      <c r="L82" s="210"/>
      <c r="M82" s="209"/>
      <c r="N82" s="209"/>
      <c r="O82" s="209"/>
      <c r="P82" s="209"/>
      <c r="Q82" s="209"/>
      <c r="R82" s="1"/>
      <c r="S82" s="1"/>
      <c r="T82" s="1"/>
      <c r="U82" s="1"/>
      <c r="V82" s="8"/>
    </row>
    <row r="83" spans="2:22" ht="30.75" customHeight="1" x14ac:dyDescent="0.65">
      <c r="B83" s="276" t="s">
        <v>92</v>
      </c>
      <c r="C83" s="208"/>
      <c r="D83" s="208"/>
      <c r="E83" s="208"/>
      <c r="F83" s="208"/>
      <c r="G83" s="208"/>
      <c r="H83" s="208"/>
      <c r="I83" s="208"/>
      <c r="J83" s="208"/>
      <c r="K83" s="209"/>
      <c r="L83" s="210"/>
      <c r="M83" s="209"/>
      <c r="N83" s="209"/>
      <c r="O83" s="209"/>
      <c r="P83" s="209"/>
      <c r="Q83" s="209"/>
      <c r="R83" s="1"/>
      <c r="S83" s="1"/>
      <c r="T83" s="1"/>
      <c r="U83" s="1"/>
      <c r="V83" s="8"/>
    </row>
    <row r="84" spans="2:22" ht="30.75" customHeight="1" x14ac:dyDescent="0.65">
      <c r="B84" s="276" t="s">
        <v>93</v>
      </c>
      <c r="C84" s="208"/>
      <c r="D84" s="208"/>
      <c r="E84" s="208"/>
      <c r="F84" s="208"/>
      <c r="G84" s="208"/>
      <c r="H84" s="208"/>
      <c r="I84" s="208"/>
      <c r="J84" s="208"/>
      <c r="K84" s="209"/>
      <c r="L84" s="210"/>
      <c r="M84" s="209"/>
      <c r="N84" s="209"/>
      <c r="O84" s="209"/>
      <c r="P84" s="209"/>
      <c r="Q84" s="209"/>
      <c r="R84" s="1"/>
      <c r="S84" s="1"/>
      <c r="T84" s="1"/>
      <c r="U84" s="1"/>
      <c r="V84" s="8"/>
    </row>
    <row r="85" spans="2:22" ht="26.25" customHeight="1" x14ac:dyDescent="0.65">
      <c r="B85" s="207" t="s">
        <v>6</v>
      </c>
      <c r="C85" s="207" t="s">
        <v>7</v>
      </c>
      <c r="D85" s="207"/>
      <c r="E85" s="207" t="s">
        <v>23</v>
      </c>
      <c r="F85" s="208"/>
      <c r="G85" s="208"/>
      <c r="H85" s="457" t="s">
        <v>24</v>
      </c>
      <c r="I85" s="458"/>
      <c r="J85" s="208"/>
      <c r="K85" s="209"/>
      <c r="L85" s="210"/>
      <c r="M85" s="209"/>
      <c r="N85" s="209"/>
      <c r="O85" s="209"/>
      <c r="P85" s="209"/>
      <c r="Q85" s="209"/>
      <c r="R85" s="1"/>
      <c r="S85" s="1"/>
      <c r="T85" s="1"/>
      <c r="U85" s="1"/>
      <c r="V85" s="8"/>
    </row>
    <row r="86" spans="2:22" ht="38.25" customHeight="1" x14ac:dyDescent="0.65">
      <c r="B86" s="277">
        <v>40087</v>
      </c>
      <c r="C86" s="277">
        <v>40268</v>
      </c>
      <c r="D86" s="107"/>
      <c r="E86" s="278">
        <f t="shared" ref="E86:E90" si="13">IF(B86&gt;0,MONTH(C86-B86),0)</f>
        <v>6</v>
      </c>
      <c r="F86" s="208"/>
      <c r="G86" s="208"/>
      <c r="H86" s="525"/>
      <c r="I86" s="526"/>
      <c r="J86" s="208"/>
      <c r="K86" s="209"/>
      <c r="L86" s="210"/>
      <c r="M86" s="209"/>
      <c r="N86" s="209"/>
      <c r="O86" s="209"/>
      <c r="P86" s="209"/>
      <c r="Q86" s="209"/>
      <c r="R86" s="1"/>
      <c r="S86" s="1"/>
      <c r="T86" s="1"/>
      <c r="U86" s="1"/>
      <c r="V86" s="8"/>
    </row>
    <row r="87" spans="2:22" ht="38.25" customHeight="1" x14ac:dyDescent="0.65">
      <c r="B87" s="277">
        <v>40269</v>
      </c>
      <c r="C87" s="277">
        <v>40451</v>
      </c>
      <c r="D87" s="107"/>
      <c r="E87" s="278">
        <f t="shared" si="13"/>
        <v>6</v>
      </c>
      <c r="F87" s="208"/>
      <c r="G87" s="208"/>
      <c r="H87" s="525"/>
      <c r="I87" s="526"/>
      <c r="J87" s="208"/>
      <c r="K87" s="209"/>
      <c r="L87" s="210"/>
      <c r="M87" s="209"/>
      <c r="N87" s="209"/>
      <c r="O87" s="209"/>
      <c r="P87" s="209"/>
      <c r="Q87" s="209"/>
      <c r="R87" s="1"/>
      <c r="S87" s="1"/>
      <c r="T87" s="1"/>
      <c r="U87" s="1"/>
      <c r="V87" s="8"/>
    </row>
    <row r="88" spans="2:22" ht="38.25" customHeight="1" x14ac:dyDescent="0.65">
      <c r="B88" s="277">
        <v>40452</v>
      </c>
      <c r="C88" s="277">
        <v>40574</v>
      </c>
      <c r="D88" s="107"/>
      <c r="E88" s="278">
        <f t="shared" si="13"/>
        <v>5</v>
      </c>
      <c r="F88" s="208"/>
      <c r="G88" s="208"/>
      <c r="H88" s="525"/>
      <c r="I88" s="526"/>
      <c r="J88" s="276" t="s">
        <v>63</v>
      </c>
      <c r="K88" s="209"/>
      <c r="L88" s="210"/>
      <c r="M88" s="209"/>
      <c r="N88" s="209"/>
      <c r="O88" s="209"/>
      <c r="P88" s="209"/>
      <c r="Q88" s="209"/>
      <c r="R88" s="1"/>
      <c r="S88" s="1"/>
      <c r="T88" s="1"/>
      <c r="U88" s="1"/>
      <c r="V88" s="8"/>
    </row>
    <row r="89" spans="2:22" ht="38.25" customHeight="1" x14ac:dyDescent="0.65">
      <c r="B89" s="277">
        <v>40452</v>
      </c>
      <c r="C89" s="277">
        <v>40573</v>
      </c>
      <c r="D89" s="107"/>
      <c r="E89" s="278">
        <f t="shared" si="13"/>
        <v>4</v>
      </c>
      <c r="F89" s="208"/>
      <c r="G89" s="208"/>
      <c r="H89" s="525"/>
      <c r="I89" s="526"/>
      <c r="J89" s="215" t="s">
        <v>64</v>
      </c>
      <c r="K89" s="209"/>
      <c r="L89" s="210"/>
      <c r="M89" s="209"/>
      <c r="N89" s="209"/>
      <c r="O89" s="209"/>
      <c r="P89" s="209"/>
      <c r="Q89" s="209"/>
      <c r="R89" s="1"/>
      <c r="S89" s="1"/>
      <c r="T89" s="1"/>
      <c r="U89" s="1"/>
      <c r="V89" s="8"/>
    </row>
    <row r="90" spans="2:22" ht="38.25" customHeight="1" x14ac:dyDescent="0.65">
      <c r="B90" s="277">
        <v>40575</v>
      </c>
      <c r="C90" s="277">
        <v>40633</v>
      </c>
      <c r="D90" s="107"/>
      <c r="E90" s="278">
        <f t="shared" si="13"/>
        <v>2</v>
      </c>
      <c r="F90" s="208"/>
      <c r="G90" s="208"/>
      <c r="H90" s="525"/>
      <c r="I90" s="526"/>
      <c r="J90" s="215"/>
      <c r="K90" s="209"/>
      <c r="L90" s="210"/>
      <c r="M90" s="209"/>
      <c r="N90" s="209"/>
      <c r="O90" s="209"/>
      <c r="P90" s="209"/>
      <c r="Q90" s="209"/>
      <c r="R90" s="1"/>
      <c r="S90" s="1"/>
      <c r="T90" s="1"/>
      <c r="U90" s="1"/>
      <c r="V90" s="8"/>
    </row>
    <row r="91" spans="2:22" ht="11.25" customHeight="1" x14ac:dyDescent="0.65">
      <c r="B91" s="216"/>
      <c r="C91" s="216"/>
      <c r="D91" s="217"/>
      <c r="E91" s="218"/>
      <c r="F91" s="219"/>
      <c r="G91" s="219"/>
      <c r="H91" s="220"/>
      <c r="I91" s="220"/>
      <c r="J91" s="215"/>
      <c r="K91" s="209"/>
      <c r="L91" s="210"/>
      <c r="M91" s="209"/>
      <c r="N91" s="209"/>
      <c r="O91" s="209"/>
      <c r="P91" s="209"/>
      <c r="Q91" s="209"/>
      <c r="R91" s="1"/>
      <c r="S91" s="1"/>
      <c r="T91" s="1"/>
      <c r="U91" s="1"/>
      <c r="V91" s="8"/>
    </row>
    <row r="92" spans="2:22" ht="34.5" customHeight="1" x14ac:dyDescent="0.65">
      <c r="B92" s="276" t="s">
        <v>94</v>
      </c>
      <c r="C92" s="1"/>
      <c r="D92" s="1"/>
      <c r="E92" s="1"/>
      <c r="F92" s="1"/>
      <c r="G92" s="1"/>
      <c r="H92" s="1"/>
      <c r="I92" s="1"/>
      <c r="J92" s="1"/>
      <c r="K92" s="1"/>
      <c r="L92" s="8"/>
      <c r="M92" s="1"/>
      <c r="N92" s="1"/>
      <c r="O92" s="1"/>
      <c r="P92" s="1"/>
      <c r="Q92" s="1"/>
      <c r="R92" s="1"/>
      <c r="S92" s="1"/>
      <c r="T92" s="1"/>
      <c r="U92" s="1"/>
      <c r="V92" s="8"/>
    </row>
    <row r="93" spans="2:22" ht="34.5" customHeight="1" x14ac:dyDescent="0.65">
      <c r="B93" s="276" t="s">
        <v>95</v>
      </c>
      <c r="C93" s="1"/>
      <c r="D93" s="1"/>
      <c r="E93" s="1"/>
      <c r="F93" s="1"/>
      <c r="G93" s="1"/>
      <c r="H93" s="1"/>
      <c r="I93" s="1"/>
      <c r="J93" s="1"/>
      <c r="K93" s="1"/>
      <c r="L93" s="8"/>
      <c r="M93" s="1"/>
      <c r="N93" s="1"/>
      <c r="O93" s="1"/>
      <c r="P93" s="1"/>
      <c r="Q93" s="1"/>
      <c r="R93" s="1"/>
      <c r="S93" s="1"/>
      <c r="T93" s="1"/>
      <c r="U93" s="1"/>
      <c r="V93" s="8"/>
    </row>
    <row r="94" spans="2:22" ht="34.5" customHeight="1" x14ac:dyDescent="0.65">
      <c r="B94" s="276" t="s">
        <v>96</v>
      </c>
      <c r="C94" s="1"/>
      <c r="D94" s="1"/>
      <c r="E94" s="1"/>
      <c r="F94" s="1"/>
      <c r="G94" s="1"/>
      <c r="H94" s="1"/>
      <c r="I94" s="1"/>
      <c r="J94" s="1"/>
      <c r="K94" s="1"/>
      <c r="L94" s="8"/>
      <c r="M94" s="1"/>
      <c r="N94" s="1"/>
      <c r="O94" s="1"/>
      <c r="P94" s="1"/>
      <c r="Q94" s="1"/>
      <c r="R94" s="1"/>
      <c r="S94" s="1"/>
      <c r="T94" s="1"/>
      <c r="U94" s="1"/>
      <c r="V94" s="8"/>
    </row>
    <row r="95" spans="2:22" ht="27.75" customHeight="1" x14ac:dyDescent="0.65">
      <c r="B95" s="207" t="s">
        <v>6</v>
      </c>
      <c r="C95" s="207" t="s">
        <v>7</v>
      </c>
      <c r="D95" s="207"/>
      <c r="E95" s="207" t="s">
        <v>23</v>
      </c>
      <c r="F95" s="208"/>
      <c r="G95" s="208"/>
      <c r="H95" s="457" t="s">
        <v>24</v>
      </c>
      <c r="I95" s="458"/>
      <c r="J95" s="1"/>
      <c r="K95" s="1"/>
      <c r="L95" s="8"/>
      <c r="M95" s="1"/>
      <c r="N95" s="1"/>
      <c r="O95" s="1"/>
      <c r="P95" s="1"/>
      <c r="Q95" s="1"/>
      <c r="R95" s="1"/>
      <c r="S95" s="1"/>
      <c r="T95" s="1"/>
      <c r="U95" s="1"/>
      <c r="V95" s="8"/>
    </row>
    <row r="96" spans="2:22" ht="27" customHeight="1" x14ac:dyDescent="0.65">
      <c r="B96" s="277">
        <v>39600</v>
      </c>
      <c r="C96" s="277">
        <v>39721</v>
      </c>
      <c r="D96" s="107"/>
      <c r="E96" s="278">
        <f t="shared" ref="E96:E106" si="14">IF(B96&gt;0,MONTH(C96-B96),0)</f>
        <v>4</v>
      </c>
      <c r="F96" s="208"/>
      <c r="G96" s="208"/>
      <c r="H96" s="525"/>
      <c r="I96" s="526"/>
      <c r="J96" s="1"/>
      <c r="K96" s="1"/>
      <c r="L96" s="8"/>
      <c r="M96" s="1"/>
      <c r="N96" s="1"/>
      <c r="O96" s="1"/>
      <c r="P96" s="1"/>
      <c r="Q96" s="1"/>
      <c r="R96" s="1"/>
      <c r="S96" s="1"/>
      <c r="T96" s="1"/>
      <c r="U96" s="1"/>
      <c r="V96" s="8"/>
    </row>
    <row r="97" spans="2:22" ht="27" customHeight="1" x14ac:dyDescent="0.65">
      <c r="B97" s="277">
        <v>39722</v>
      </c>
      <c r="C97" s="277">
        <v>39903</v>
      </c>
      <c r="D97" s="107"/>
      <c r="E97" s="278">
        <f t="shared" si="14"/>
        <v>6</v>
      </c>
      <c r="F97" s="208"/>
      <c r="G97" s="208"/>
      <c r="H97" s="525"/>
      <c r="I97" s="526"/>
      <c r="J97" s="1"/>
      <c r="K97" s="1"/>
      <c r="L97" s="8"/>
      <c r="M97" s="1"/>
      <c r="N97" s="1"/>
      <c r="O97" s="1"/>
      <c r="P97" s="1"/>
      <c r="Q97" s="1"/>
      <c r="R97" s="1"/>
      <c r="S97" s="1"/>
      <c r="T97" s="1"/>
      <c r="U97" s="1"/>
      <c r="V97" s="8"/>
    </row>
    <row r="98" spans="2:22" ht="27" customHeight="1" x14ac:dyDescent="0.65">
      <c r="B98" s="277">
        <v>39904</v>
      </c>
      <c r="C98" s="277">
        <v>40086</v>
      </c>
      <c r="D98" s="107"/>
      <c r="E98" s="278">
        <f t="shared" si="14"/>
        <v>6</v>
      </c>
      <c r="F98" s="208"/>
      <c r="G98" s="208"/>
      <c r="H98" s="525"/>
      <c r="I98" s="526"/>
      <c r="J98" s="1"/>
      <c r="K98" s="1"/>
      <c r="L98" s="8"/>
      <c r="M98" s="1"/>
      <c r="N98" s="1"/>
      <c r="O98" s="1"/>
      <c r="P98" s="1"/>
      <c r="Q98" s="1"/>
      <c r="R98" s="1"/>
      <c r="S98" s="1"/>
      <c r="T98" s="1"/>
      <c r="U98" s="1"/>
      <c r="V98" s="8"/>
    </row>
    <row r="99" spans="2:22" ht="27" customHeight="1" x14ac:dyDescent="0.65">
      <c r="B99" s="277">
        <v>40087</v>
      </c>
      <c r="C99" s="277">
        <v>40268</v>
      </c>
      <c r="D99" s="107"/>
      <c r="E99" s="278">
        <f t="shared" si="14"/>
        <v>6</v>
      </c>
      <c r="F99" s="208"/>
      <c r="G99" s="208"/>
      <c r="H99" s="525"/>
      <c r="I99" s="526"/>
      <c r="J99" s="1"/>
      <c r="K99" s="1"/>
      <c r="L99" s="8"/>
      <c r="M99" s="1"/>
      <c r="N99" s="1"/>
      <c r="O99" s="1"/>
      <c r="P99" s="1"/>
      <c r="Q99" s="1"/>
      <c r="R99" s="1"/>
      <c r="S99" s="1"/>
      <c r="T99" s="1"/>
      <c r="U99" s="1"/>
      <c r="V99" s="8"/>
    </row>
    <row r="100" spans="2:22" ht="27" customHeight="1" x14ac:dyDescent="0.65">
      <c r="B100" s="277">
        <v>40269</v>
      </c>
      <c r="C100" s="277">
        <v>40451</v>
      </c>
      <c r="D100" s="107"/>
      <c r="E100" s="278">
        <f t="shared" si="14"/>
        <v>6</v>
      </c>
      <c r="F100" s="208"/>
      <c r="G100" s="208"/>
      <c r="H100" s="525"/>
      <c r="I100" s="526"/>
      <c r="J100" s="1"/>
      <c r="K100" s="1"/>
      <c r="L100" s="8"/>
      <c r="M100" s="1"/>
      <c r="N100" s="1"/>
      <c r="O100" s="1"/>
      <c r="P100" s="1"/>
      <c r="Q100" s="1"/>
      <c r="R100" s="1"/>
      <c r="S100" s="1"/>
      <c r="T100" s="1"/>
      <c r="U100" s="1"/>
      <c r="V100" s="8"/>
    </row>
    <row r="101" spans="2:22" ht="27" customHeight="1" x14ac:dyDescent="0.65">
      <c r="B101" s="277">
        <v>40452</v>
      </c>
      <c r="C101" s="277">
        <v>40633</v>
      </c>
      <c r="D101" s="107"/>
      <c r="E101" s="278">
        <f t="shared" si="14"/>
        <v>6</v>
      </c>
      <c r="F101" s="208"/>
      <c r="G101" s="208"/>
      <c r="H101" s="525"/>
      <c r="I101" s="526"/>
      <c r="J101" s="1"/>
      <c r="K101" s="1"/>
      <c r="L101" s="8"/>
      <c r="M101" s="1"/>
      <c r="N101" s="1"/>
      <c r="O101" s="1"/>
      <c r="P101" s="1"/>
      <c r="Q101" s="1"/>
      <c r="R101" s="1"/>
      <c r="S101" s="1"/>
      <c r="T101" s="1"/>
      <c r="U101" s="1"/>
      <c r="V101" s="8"/>
    </row>
    <row r="102" spans="2:22" ht="27" customHeight="1" x14ac:dyDescent="0.65">
      <c r="B102" s="277">
        <v>40634</v>
      </c>
      <c r="C102" s="277">
        <v>40816</v>
      </c>
      <c r="D102" s="107"/>
      <c r="E102" s="278">
        <f t="shared" si="14"/>
        <v>6</v>
      </c>
      <c r="F102" s="208"/>
      <c r="G102" s="208"/>
      <c r="H102" s="525"/>
      <c r="I102" s="526"/>
      <c r="J102" s="1"/>
      <c r="K102" s="1"/>
      <c r="L102" s="8"/>
      <c r="M102" s="1"/>
      <c r="N102" s="1"/>
      <c r="O102" s="1"/>
      <c r="P102" s="1"/>
      <c r="Q102" s="1"/>
      <c r="R102" s="1"/>
      <c r="S102" s="1"/>
      <c r="T102" s="1"/>
      <c r="U102" s="1"/>
      <c r="V102" s="8"/>
    </row>
    <row r="103" spans="2:22" ht="27" customHeight="1" x14ac:dyDescent="0.65">
      <c r="B103" s="277">
        <v>40817</v>
      </c>
      <c r="C103" s="277">
        <v>40999</v>
      </c>
      <c r="D103" s="107"/>
      <c r="E103" s="278">
        <f t="shared" si="14"/>
        <v>6</v>
      </c>
      <c r="F103" s="208"/>
      <c r="G103" s="208"/>
      <c r="H103" s="525"/>
      <c r="I103" s="526"/>
      <c r="J103" s="1"/>
      <c r="K103" s="1"/>
      <c r="L103" s="8"/>
      <c r="M103" s="1"/>
      <c r="N103" s="1"/>
      <c r="O103" s="1"/>
      <c r="P103" s="1"/>
      <c r="Q103" s="1"/>
      <c r="R103" s="1"/>
      <c r="S103" s="1"/>
      <c r="T103" s="1"/>
      <c r="U103" s="1"/>
      <c r="V103" s="8"/>
    </row>
    <row r="104" spans="2:22" ht="27" customHeight="1" x14ac:dyDescent="0.65">
      <c r="B104" s="277">
        <v>41000</v>
      </c>
      <c r="C104" s="277">
        <v>41182</v>
      </c>
      <c r="D104" s="107"/>
      <c r="E104" s="278">
        <f t="shared" si="14"/>
        <v>6</v>
      </c>
      <c r="F104" s="208"/>
      <c r="G104" s="208"/>
      <c r="H104" s="525"/>
      <c r="I104" s="526"/>
      <c r="J104" s="1"/>
      <c r="K104" s="1"/>
      <c r="L104" s="8"/>
      <c r="M104" s="1"/>
      <c r="N104" s="1"/>
      <c r="O104" s="1"/>
      <c r="P104" s="1"/>
      <c r="Q104" s="1"/>
      <c r="R104" s="1"/>
      <c r="S104" s="1"/>
      <c r="T104" s="1"/>
      <c r="U104" s="1"/>
      <c r="V104" s="8"/>
    </row>
    <row r="105" spans="2:22" ht="27" customHeight="1" x14ac:dyDescent="0.65">
      <c r="B105" s="277">
        <v>41183</v>
      </c>
      <c r="C105" s="277">
        <v>41364</v>
      </c>
      <c r="D105" s="107"/>
      <c r="E105" s="278">
        <f t="shared" si="14"/>
        <v>6</v>
      </c>
      <c r="F105" s="208"/>
      <c r="G105" s="208"/>
      <c r="H105" s="525"/>
      <c r="I105" s="526"/>
      <c r="J105" s="1"/>
      <c r="K105" s="1"/>
      <c r="L105" s="8"/>
      <c r="M105" s="1"/>
      <c r="N105" s="1"/>
      <c r="O105" s="1"/>
      <c r="P105" s="1"/>
      <c r="Q105" s="1"/>
      <c r="R105" s="1"/>
      <c r="S105" s="1"/>
      <c r="T105" s="1"/>
      <c r="U105" s="1"/>
      <c r="V105" s="8"/>
    </row>
    <row r="106" spans="2:22" ht="27" customHeight="1" x14ac:dyDescent="0.65">
      <c r="B106" s="277">
        <v>41365</v>
      </c>
      <c r="C106" s="277">
        <v>41425</v>
      </c>
      <c r="D106" s="107"/>
      <c r="E106" s="278">
        <f t="shared" si="14"/>
        <v>2</v>
      </c>
      <c r="F106" s="208"/>
      <c r="G106" s="208"/>
      <c r="H106" s="525"/>
      <c r="I106" s="526"/>
      <c r="J106" s="1"/>
      <c r="K106" s="1"/>
      <c r="L106" s="8"/>
      <c r="M106" s="1"/>
      <c r="N106" s="1"/>
      <c r="O106" s="1"/>
      <c r="P106" s="1"/>
      <c r="Q106" s="1"/>
      <c r="R106" s="1"/>
      <c r="S106" s="1"/>
      <c r="T106" s="1"/>
      <c r="U106" s="1"/>
      <c r="V106" s="8"/>
    </row>
    <row r="107" spans="2:22" ht="21.75" customHeight="1" x14ac:dyDescent="0.2">
      <c r="B107" s="1"/>
      <c r="C107" s="279" t="s">
        <v>68</v>
      </c>
      <c r="D107" s="280"/>
      <c r="E107" s="224">
        <f>SUM(E96:E106)</f>
        <v>60</v>
      </c>
      <c r="F107" s="1"/>
      <c r="G107" s="1"/>
      <c r="H107" s="1"/>
      <c r="I107" s="1"/>
      <c r="J107" s="1"/>
      <c r="K107" s="1"/>
      <c r="L107" s="8"/>
      <c r="M107" s="1"/>
      <c r="N107" s="1"/>
      <c r="O107" s="1"/>
      <c r="P107" s="1"/>
      <c r="Q107" s="1"/>
      <c r="R107" s="1"/>
      <c r="S107" s="1"/>
      <c r="T107" s="1"/>
      <c r="U107" s="1"/>
      <c r="V107" s="8"/>
    </row>
    <row r="108" spans="2:22" ht="20.2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8"/>
      <c r="M108" s="1"/>
      <c r="N108" s="1"/>
      <c r="O108" s="1"/>
      <c r="P108" s="1"/>
      <c r="Q108" s="1"/>
      <c r="R108" s="1"/>
      <c r="S108" s="1"/>
      <c r="T108" s="1"/>
      <c r="U108" s="1"/>
      <c r="V108" s="8"/>
    </row>
    <row r="109" spans="2:22" ht="34.5" customHeight="1" x14ac:dyDescent="0.65">
      <c r="B109" s="276" t="s">
        <v>97</v>
      </c>
      <c r="C109" s="1"/>
      <c r="D109" s="1"/>
      <c r="E109" s="1"/>
      <c r="F109" s="1"/>
      <c r="G109" s="1"/>
      <c r="H109" s="1"/>
      <c r="I109" s="1"/>
      <c r="J109" s="1"/>
      <c r="K109" s="1"/>
      <c r="L109" s="8"/>
      <c r="M109" s="1"/>
      <c r="N109" s="1"/>
      <c r="O109" s="1"/>
      <c r="P109" s="1"/>
      <c r="Q109" s="1"/>
      <c r="R109" s="1"/>
      <c r="S109" s="1"/>
      <c r="T109" s="1"/>
      <c r="U109" s="1"/>
      <c r="V109" s="8"/>
    </row>
    <row r="110" spans="2:22" ht="34.5" customHeight="1" x14ac:dyDescent="0.65">
      <c r="B110" s="276" t="s">
        <v>70</v>
      </c>
      <c r="C110" s="1"/>
      <c r="D110" s="1"/>
      <c r="E110" s="1"/>
      <c r="F110" s="1"/>
      <c r="G110" s="1"/>
      <c r="H110" s="1"/>
      <c r="I110" s="1"/>
      <c r="J110" s="1"/>
      <c r="K110" s="1"/>
      <c r="L110" s="8"/>
      <c r="M110" s="1"/>
      <c r="N110" s="1"/>
      <c r="O110" s="1"/>
      <c r="P110" s="1"/>
      <c r="Q110" s="1"/>
      <c r="R110" s="1"/>
      <c r="S110" s="1"/>
      <c r="T110" s="1"/>
      <c r="U110" s="1"/>
      <c r="V110" s="8"/>
    </row>
    <row r="111" spans="2:22" ht="34.5" customHeight="1" x14ac:dyDescent="0.65">
      <c r="B111" s="276" t="s">
        <v>71</v>
      </c>
      <c r="C111" s="1"/>
      <c r="D111" s="1"/>
      <c r="E111" s="1"/>
      <c r="F111" s="1"/>
      <c r="G111" s="1"/>
      <c r="H111" s="1"/>
      <c r="I111" s="1"/>
      <c r="J111" s="1"/>
      <c r="K111" s="1"/>
      <c r="L111" s="8"/>
      <c r="M111" s="1"/>
      <c r="N111" s="1"/>
      <c r="O111" s="1"/>
      <c r="P111" s="1"/>
      <c r="Q111" s="1"/>
      <c r="R111" s="1"/>
      <c r="S111" s="1"/>
      <c r="T111" s="1"/>
      <c r="U111" s="1"/>
      <c r="V111" s="8"/>
    </row>
    <row r="112" spans="2:22" ht="14.2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8"/>
      <c r="M112" s="1"/>
      <c r="N112" s="1"/>
      <c r="O112" s="1"/>
      <c r="P112" s="1"/>
      <c r="Q112" s="1"/>
      <c r="R112" s="1"/>
      <c r="S112" s="1"/>
      <c r="T112" s="1"/>
      <c r="U112" s="1"/>
      <c r="V112" s="8"/>
    </row>
    <row r="113" spans="2:22" ht="24.75" customHeight="1" x14ac:dyDescent="0.65">
      <c r="B113" s="207" t="s">
        <v>6</v>
      </c>
      <c r="C113" s="207" t="s">
        <v>7</v>
      </c>
      <c r="D113" s="207"/>
      <c r="E113" s="207" t="s">
        <v>23</v>
      </c>
      <c r="F113" s="208"/>
      <c r="G113" s="208"/>
      <c r="H113" s="457" t="s">
        <v>24</v>
      </c>
      <c r="I113" s="458"/>
      <c r="J113" s="1"/>
      <c r="K113" s="1"/>
      <c r="L113" s="8"/>
      <c r="M113" s="1"/>
      <c r="N113" s="1"/>
      <c r="O113" s="1"/>
      <c r="P113" s="1"/>
      <c r="Q113" s="1"/>
      <c r="R113" s="1"/>
      <c r="S113" s="1"/>
      <c r="T113" s="1"/>
      <c r="U113" s="1"/>
      <c r="V113" s="8"/>
    </row>
    <row r="114" spans="2:22" ht="27" customHeight="1" x14ac:dyDescent="0.65">
      <c r="B114" s="281">
        <v>39569</v>
      </c>
      <c r="C114" s="281">
        <v>39721</v>
      </c>
      <c r="D114" s="282"/>
      <c r="E114" s="278">
        <f t="shared" ref="E114:E124" si="15">IF(B114&gt;0,MONTH(C114-B114),0)</f>
        <v>5</v>
      </c>
      <c r="F114" s="283"/>
      <c r="G114" s="283"/>
      <c r="H114" s="525"/>
      <c r="I114" s="526"/>
      <c r="J114" s="1"/>
      <c r="K114" s="1"/>
      <c r="L114" s="8"/>
      <c r="M114" s="1"/>
      <c r="N114" s="1"/>
      <c r="O114" s="1"/>
      <c r="P114" s="1"/>
      <c r="Q114" s="1"/>
      <c r="R114" s="1"/>
      <c r="S114" s="1"/>
      <c r="T114" s="1"/>
      <c r="U114" s="1"/>
      <c r="V114" s="8"/>
    </row>
    <row r="115" spans="2:22" ht="27" customHeight="1" x14ac:dyDescent="0.65">
      <c r="B115" s="281">
        <v>39722</v>
      </c>
      <c r="C115" s="281">
        <v>39903</v>
      </c>
      <c r="D115" s="282"/>
      <c r="E115" s="278">
        <f t="shared" si="15"/>
        <v>6</v>
      </c>
      <c r="F115" s="283"/>
      <c r="G115" s="283"/>
      <c r="H115" s="525"/>
      <c r="I115" s="526"/>
      <c r="J115" s="1"/>
      <c r="K115" s="1"/>
      <c r="L115" s="8"/>
      <c r="M115" s="1"/>
      <c r="N115" s="1"/>
      <c r="O115" s="1"/>
      <c r="P115" s="1"/>
      <c r="Q115" s="1"/>
      <c r="R115" s="1"/>
      <c r="S115" s="1"/>
      <c r="T115" s="1"/>
      <c r="U115" s="1"/>
      <c r="V115" s="8"/>
    </row>
    <row r="116" spans="2:22" ht="27" customHeight="1" x14ac:dyDescent="0.65">
      <c r="B116" s="281">
        <v>39904</v>
      </c>
      <c r="C116" s="281">
        <v>40086</v>
      </c>
      <c r="D116" s="282"/>
      <c r="E116" s="278">
        <f t="shared" si="15"/>
        <v>6</v>
      </c>
      <c r="F116" s="283"/>
      <c r="G116" s="283"/>
      <c r="H116" s="525"/>
      <c r="I116" s="526"/>
      <c r="J116" s="1"/>
      <c r="K116" s="1"/>
      <c r="L116" s="8"/>
      <c r="M116" s="1"/>
      <c r="N116" s="1"/>
      <c r="O116" s="1"/>
      <c r="P116" s="1"/>
      <c r="Q116" s="1"/>
      <c r="R116" s="1"/>
      <c r="S116" s="1"/>
      <c r="T116" s="1"/>
      <c r="U116" s="1"/>
      <c r="V116" s="8"/>
    </row>
    <row r="117" spans="2:22" ht="27" customHeight="1" x14ac:dyDescent="0.65">
      <c r="B117" s="281">
        <v>40087</v>
      </c>
      <c r="C117" s="281">
        <v>40268</v>
      </c>
      <c r="D117" s="282"/>
      <c r="E117" s="278">
        <f t="shared" si="15"/>
        <v>6</v>
      </c>
      <c r="F117" s="283"/>
      <c r="G117" s="283"/>
      <c r="H117" s="525"/>
      <c r="I117" s="526"/>
      <c r="J117" s="1"/>
      <c r="K117" s="1"/>
      <c r="L117" s="8"/>
      <c r="M117" s="1"/>
      <c r="N117" s="1"/>
      <c r="O117" s="1"/>
      <c r="P117" s="1"/>
      <c r="Q117" s="1"/>
      <c r="R117" s="1"/>
      <c r="S117" s="1"/>
      <c r="T117" s="1"/>
      <c r="U117" s="1"/>
      <c r="V117" s="8"/>
    </row>
    <row r="118" spans="2:22" ht="27" customHeight="1" x14ac:dyDescent="0.65">
      <c r="B118" s="281">
        <v>40269</v>
      </c>
      <c r="C118" s="281">
        <v>40451</v>
      </c>
      <c r="D118" s="282"/>
      <c r="E118" s="278">
        <f t="shared" si="15"/>
        <v>6</v>
      </c>
      <c r="F118" s="283"/>
      <c r="G118" s="283"/>
      <c r="H118" s="525"/>
      <c r="I118" s="526"/>
      <c r="J118" s="1"/>
      <c r="K118" s="1"/>
      <c r="L118" s="8"/>
      <c r="M118" s="1"/>
      <c r="N118" s="1"/>
      <c r="O118" s="1"/>
      <c r="P118" s="1"/>
      <c r="Q118" s="1"/>
      <c r="R118" s="1"/>
      <c r="S118" s="1"/>
      <c r="T118" s="1"/>
      <c r="U118" s="1"/>
      <c r="V118" s="8"/>
    </row>
    <row r="119" spans="2:22" ht="27" customHeight="1" x14ac:dyDescent="0.65">
      <c r="B119" s="281">
        <v>40452</v>
      </c>
      <c r="C119" s="281">
        <v>40633</v>
      </c>
      <c r="D119" s="282"/>
      <c r="E119" s="278">
        <f t="shared" si="15"/>
        <v>6</v>
      </c>
      <c r="F119" s="283"/>
      <c r="G119" s="283"/>
      <c r="H119" s="525"/>
      <c r="I119" s="526"/>
      <c r="J119" s="1"/>
      <c r="K119" s="1"/>
      <c r="L119" s="8"/>
      <c r="M119" s="1"/>
      <c r="N119" s="1"/>
      <c r="O119" s="1"/>
      <c r="P119" s="1"/>
      <c r="Q119" s="1"/>
      <c r="R119" s="1"/>
      <c r="S119" s="1"/>
      <c r="T119" s="1"/>
      <c r="U119" s="1"/>
      <c r="V119" s="8"/>
    </row>
    <row r="120" spans="2:22" ht="27" customHeight="1" x14ac:dyDescent="0.65">
      <c r="B120" s="281">
        <v>40634</v>
      </c>
      <c r="C120" s="281">
        <v>40816</v>
      </c>
      <c r="D120" s="282"/>
      <c r="E120" s="278">
        <f t="shared" si="15"/>
        <v>6</v>
      </c>
      <c r="F120" s="283"/>
      <c r="G120" s="283"/>
      <c r="H120" s="525"/>
      <c r="I120" s="526"/>
      <c r="J120" s="1"/>
      <c r="K120" s="1"/>
      <c r="L120" s="8"/>
      <c r="M120" s="1"/>
      <c r="N120" s="1"/>
      <c r="O120" s="1"/>
      <c r="P120" s="1"/>
      <c r="Q120" s="1"/>
      <c r="R120" s="1"/>
      <c r="S120" s="1"/>
      <c r="T120" s="1"/>
      <c r="U120" s="1"/>
      <c r="V120" s="8"/>
    </row>
    <row r="121" spans="2:22" ht="27" customHeight="1" x14ac:dyDescent="0.65">
      <c r="B121" s="281">
        <v>40817</v>
      </c>
      <c r="C121" s="281">
        <v>40999</v>
      </c>
      <c r="D121" s="282"/>
      <c r="E121" s="278">
        <f t="shared" si="15"/>
        <v>6</v>
      </c>
      <c r="F121" s="283"/>
      <c r="G121" s="283"/>
      <c r="H121" s="525"/>
      <c r="I121" s="526"/>
      <c r="J121" s="1"/>
      <c r="K121" s="1"/>
      <c r="L121" s="8"/>
      <c r="M121" s="1"/>
      <c r="N121" s="1"/>
      <c r="O121" s="1"/>
      <c r="P121" s="1"/>
      <c r="Q121" s="1"/>
      <c r="R121" s="1"/>
      <c r="S121" s="1"/>
      <c r="T121" s="1"/>
      <c r="U121" s="1"/>
      <c r="V121" s="8"/>
    </row>
    <row r="122" spans="2:22" ht="27" customHeight="1" x14ac:dyDescent="0.65">
      <c r="B122" s="281">
        <v>41000</v>
      </c>
      <c r="C122" s="281">
        <v>41182</v>
      </c>
      <c r="D122" s="282"/>
      <c r="E122" s="278">
        <f t="shared" si="15"/>
        <v>6</v>
      </c>
      <c r="F122" s="283"/>
      <c r="G122" s="283"/>
      <c r="H122" s="525"/>
      <c r="I122" s="526"/>
      <c r="J122" s="1"/>
      <c r="K122" s="1"/>
      <c r="L122" s="8"/>
      <c r="M122" s="1"/>
      <c r="N122" s="1"/>
      <c r="O122" s="1"/>
      <c r="P122" s="1"/>
      <c r="Q122" s="1"/>
      <c r="R122" s="1"/>
      <c r="S122" s="1"/>
      <c r="T122" s="1"/>
      <c r="U122" s="1"/>
      <c r="V122" s="8"/>
    </row>
    <row r="123" spans="2:22" ht="27" customHeight="1" x14ac:dyDescent="0.65">
      <c r="B123" s="281">
        <v>41183</v>
      </c>
      <c r="C123" s="281">
        <v>41364</v>
      </c>
      <c r="D123" s="282"/>
      <c r="E123" s="278">
        <f t="shared" si="15"/>
        <v>6</v>
      </c>
      <c r="F123" s="283"/>
      <c r="G123" s="283"/>
      <c r="H123" s="525"/>
      <c r="I123" s="526"/>
      <c r="J123" s="1"/>
      <c r="K123" s="1"/>
      <c r="L123" s="8"/>
      <c r="M123" s="1"/>
      <c r="N123" s="1"/>
      <c r="O123" s="1"/>
      <c r="P123" s="1"/>
      <c r="Q123" s="1"/>
      <c r="R123" s="1"/>
      <c r="S123" s="1"/>
      <c r="T123" s="1"/>
      <c r="U123" s="1"/>
      <c r="V123" s="8"/>
    </row>
    <row r="124" spans="2:22" ht="27" customHeight="1" x14ac:dyDescent="0.65">
      <c r="B124" s="281">
        <v>41365</v>
      </c>
      <c r="C124" s="281">
        <v>41394</v>
      </c>
      <c r="D124" s="282"/>
      <c r="E124" s="278">
        <f t="shared" si="15"/>
        <v>1</v>
      </c>
      <c r="F124" s="283"/>
      <c r="G124" s="283"/>
      <c r="H124" s="525"/>
      <c r="I124" s="526"/>
      <c r="J124" s="1"/>
      <c r="K124" s="1"/>
      <c r="L124" s="8"/>
      <c r="M124" s="1"/>
      <c r="N124" s="1"/>
      <c r="O124" s="1"/>
      <c r="P124" s="1"/>
      <c r="Q124" s="1"/>
      <c r="R124" s="1"/>
      <c r="S124" s="1"/>
      <c r="T124" s="1"/>
      <c r="U124" s="1"/>
      <c r="V124" s="8"/>
    </row>
    <row r="125" spans="2:22" ht="29.25" customHeight="1" x14ac:dyDescent="0.2">
      <c r="B125" s="1"/>
      <c r="C125" s="279" t="s">
        <v>68</v>
      </c>
      <c r="D125" s="280"/>
      <c r="E125" s="224">
        <f>SUM(E114:E124)</f>
        <v>60</v>
      </c>
      <c r="F125" s="1"/>
      <c r="G125" s="1"/>
      <c r="H125" s="1"/>
      <c r="I125" s="1"/>
      <c r="J125" s="1"/>
      <c r="K125" s="1"/>
      <c r="L125" s="8"/>
      <c r="M125" s="1"/>
      <c r="N125" s="1"/>
      <c r="O125" s="1"/>
      <c r="P125" s="1"/>
      <c r="Q125" s="1"/>
      <c r="R125" s="1"/>
      <c r="S125" s="1"/>
      <c r="T125" s="1"/>
      <c r="U125" s="1"/>
      <c r="V125" s="8"/>
    </row>
    <row r="126" spans="2:22" ht="19.5" customHeight="1" x14ac:dyDescent="0.2">
      <c r="B126" s="1"/>
      <c r="C126" s="284"/>
      <c r="D126" s="104"/>
      <c r="E126" s="230"/>
      <c r="F126" s="1"/>
      <c r="G126" s="1"/>
      <c r="H126" s="1"/>
      <c r="I126" s="1"/>
      <c r="J126" s="1"/>
      <c r="K126" s="1"/>
      <c r="L126" s="8"/>
      <c r="M126" s="1"/>
      <c r="N126" s="1"/>
      <c r="O126" s="1"/>
      <c r="P126" s="1"/>
      <c r="Q126" s="1"/>
      <c r="R126" s="1"/>
      <c r="S126" s="1"/>
      <c r="T126" s="1"/>
      <c r="U126" s="1"/>
      <c r="V126" s="8"/>
    </row>
    <row r="127" spans="2:22" ht="29.25" customHeight="1" x14ac:dyDescent="0.65">
      <c r="B127" s="276" t="s">
        <v>98</v>
      </c>
      <c r="C127" s="228"/>
      <c r="D127" s="229"/>
      <c r="E127" s="230"/>
      <c r="F127" s="221"/>
      <c r="G127" s="221"/>
      <c r="H127" s="221"/>
      <c r="I127" s="221"/>
      <c r="J127" s="1"/>
      <c r="K127" s="1"/>
      <c r="L127" s="8"/>
      <c r="M127" s="1"/>
      <c r="N127" s="1"/>
      <c r="O127" s="1"/>
      <c r="P127" s="1"/>
      <c r="Q127" s="1"/>
      <c r="R127" s="1"/>
      <c r="S127" s="1"/>
      <c r="T127" s="1"/>
      <c r="U127" s="1"/>
      <c r="V127" s="8"/>
    </row>
    <row r="128" spans="2:22" ht="29.25" customHeight="1" x14ac:dyDescent="0.65">
      <c r="B128" s="276" t="s">
        <v>73</v>
      </c>
      <c r="C128" s="228"/>
      <c r="D128" s="229"/>
      <c r="E128" s="230"/>
      <c r="F128" s="221"/>
      <c r="G128" s="221"/>
      <c r="H128" s="221"/>
      <c r="I128" s="221"/>
      <c r="J128" s="1"/>
      <c r="K128" s="1"/>
      <c r="L128" s="8"/>
      <c r="M128" s="1"/>
      <c r="N128" s="1"/>
      <c r="O128" s="1"/>
      <c r="P128" s="1"/>
      <c r="Q128" s="1"/>
      <c r="R128" s="1"/>
      <c r="S128" s="1"/>
      <c r="T128" s="1"/>
      <c r="U128" s="1"/>
      <c r="V128" s="8"/>
    </row>
    <row r="129" spans="2:22" ht="29.25" customHeight="1" x14ac:dyDescent="0.65">
      <c r="B129" s="276" t="s">
        <v>74</v>
      </c>
      <c r="C129" s="228"/>
      <c r="D129" s="229"/>
      <c r="E129" s="230"/>
      <c r="F129" s="221"/>
      <c r="G129" s="221"/>
      <c r="H129" s="221"/>
      <c r="I129" s="221"/>
      <c r="J129" s="1"/>
      <c r="K129" s="1"/>
      <c r="L129" s="8"/>
      <c r="M129" s="1"/>
      <c r="N129" s="1"/>
      <c r="O129" s="1"/>
      <c r="P129" s="1"/>
      <c r="Q129" s="1"/>
      <c r="R129" s="1"/>
      <c r="S129" s="1"/>
      <c r="T129" s="1"/>
      <c r="U129" s="1"/>
      <c r="V129" s="8"/>
    </row>
    <row r="130" spans="2:22" ht="29.25" customHeight="1" x14ac:dyDescent="0.65">
      <c r="B130" s="276" t="s">
        <v>75</v>
      </c>
      <c r="C130" s="228"/>
      <c r="D130" s="229"/>
      <c r="E130" s="230"/>
      <c r="F130" s="221"/>
      <c r="G130" s="221"/>
      <c r="H130" s="221"/>
      <c r="I130" s="221"/>
      <c r="J130" s="1"/>
      <c r="K130" s="1"/>
      <c r="L130" s="8"/>
      <c r="M130" s="1"/>
      <c r="N130" s="1"/>
      <c r="O130" s="1"/>
      <c r="P130" s="1"/>
      <c r="Q130" s="1"/>
      <c r="R130" s="1"/>
      <c r="S130" s="1"/>
      <c r="T130" s="1"/>
      <c r="U130" s="1"/>
      <c r="V130" s="8"/>
    </row>
    <row r="131" spans="2:22" ht="16.5" customHeight="1" x14ac:dyDescent="0.2">
      <c r="B131" s="221"/>
      <c r="C131" s="228"/>
      <c r="D131" s="229"/>
      <c r="E131" s="230"/>
      <c r="F131" s="221"/>
      <c r="G131" s="221"/>
      <c r="H131" s="221"/>
      <c r="I131" s="221"/>
      <c r="J131" s="1"/>
      <c r="K131" s="1"/>
      <c r="L131" s="8"/>
      <c r="M131" s="1"/>
      <c r="N131" s="1"/>
      <c r="O131" s="1"/>
      <c r="P131" s="1"/>
      <c r="Q131" s="1"/>
      <c r="R131" s="1"/>
      <c r="S131" s="1"/>
      <c r="T131" s="1"/>
      <c r="U131" s="1"/>
      <c r="V131" s="8"/>
    </row>
    <row r="132" spans="2:22" ht="29.25" customHeight="1" x14ac:dyDescent="0.65">
      <c r="B132" s="207" t="s">
        <v>6</v>
      </c>
      <c r="C132" s="207" t="s">
        <v>7</v>
      </c>
      <c r="D132" s="207"/>
      <c r="E132" s="207" t="s">
        <v>23</v>
      </c>
      <c r="F132" s="208"/>
      <c r="G132" s="208"/>
      <c r="H132" s="457" t="s">
        <v>24</v>
      </c>
      <c r="I132" s="458"/>
      <c r="J132" s="1"/>
      <c r="K132" s="1"/>
      <c r="L132" s="8"/>
      <c r="M132" s="1"/>
      <c r="N132" s="1"/>
      <c r="O132" s="1"/>
      <c r="P132" s="1"/>
      <c r="Q132" s="1"/>
      <c r="R132" s="1"/>
      <c r="S132" s="1"/>
      <c r="T132" s="1"/>
      <c r="U132" s="1"/>
      <c r="V132" s="8"/>
    </row>
    <row r="133" spans="2:22" ht="26.25" customHeight="1" x14ac:dyDescent="0.35">
      <c r="B133" s="225">
        <v>39569</v>
      </c>
      <c r="C133" s="225">
        <v>39721</v>
      </c>
      <c r="D133" s="226"/>
      <c r="E133" s="213">
        <f t="shared" ref="E133:E144" si="16">IF(B133&gt;0,MONTH(C133-B133),0)</f>
        <v>5</v>
      </c>
      <c r="F133" s="227"/>
      <c r="G133" s="227"/>
      <c r="H133" s="455">
        <v>19080</v>
      </c>
      <c r="I133" s="456"/>
      <c r="J133" s="1"/>
      <c r="K133" s="1"/>
      <c r="L133" s="8"/>
      <c r="M133" s="1"/>
      <c r="N133" s="1"/>
      <c r="O133" s="1"/>
      <c r="P133" s="1"/>
      <c r="Q133" s="1"/>
      <c r="R133" s="1"/>
      <c r="S133" s="1"/>
      <c r="T133" s="1"/>
      <c r="U133" s="1"/>
      <c r="V133" s="8"/>
    </row>
    <row r="134" spans="2:22" ht="26.25" customHeight="1" x14ac:dyDescent="0.35">
      <c r="B134" s="225">
        <v>39722</v>
      </c>
      <c r="C134" s="225">
        <v>39903</v>
      </c>
      <c r="D134" s="226"/>
      <c r="E134" s="213">
        <f t="shared" si="16"/>
        <v>6</v>
      </c>
      <c r="F134" s="227"/>
      <c r="G134" s="227"/>
      <c r="H134" s="455">
        <v>19720</v>
      </c>
      <c r="I134" s="456"/>
      <c r="J134" s="1"/>
      <c r="K134" s="1"/>
      <c r="L134" s="8"/>
      <c r="M134" s="1"/>
      <c r="N134" s="1"/>
      <c r="O134" s="1"/>
      <c r="P134" s="1"/>
      <c r="Q134" s="1"/>
      <c r="R134" s="1"/>
      <c r="S134" s="1"/>
      <c r="T134" s="1"/>
      <c r="U134" s="1"/>
      <c r="V134" s="8"/>
    </row>
    <row r="135" spans="2:22" ht="26.25" customHeight="1" x14ac:dyDescent="0.35">
      <c r="B135" s="225">
        <v>39904</v>
      </c>
      <c r="C135" s="225">
        <v>40086</v>
      </c>
      <c r="D135" s="226"/>
      <c r="E135" s="213">
        <f t="shared" si="16"/>
        <v>6</v>
      </c>
      <c r="F135" s="227"/>
      <c r="G135" s="227"/>
      <c r="H135" s="455">
        <v>21980</v>
      </c>
      <c r="I135" s="456"/>
      <c r="J135" s="1"/>
      <c r="K135" s="1"/>
      <c r="L135" s="8"/>
      <c r="M135" s="1"/>
      <c r="N135" s="1"/>
      <c r="O135" s="1"/>
      <c r="P135" s="1"/>
      <c r="Q135" s="1"/>
      <c r="R135" s="1"/>
      <c r="S135" s="1"/>
      <c r="T135" s="1"/>
      <c r="U135" s="1"/>
      <c r="V135" s="8"/>
    </row>
    <row r="136" spans="2:22" ht="26.25" customHeight="1" x14ac:dyDescent="0.35">
      <c r="B136" s="225">
        <v>40087</v>
      </c>
      <c r="C136" s="225">
        <v>40178</v>
      </c>
      <c r="D136" s="226"/>
      <c r="E136" s="213">
        <f t="shared" si="16"/>
        <v>3</v>
      </c>
      <c r="F136" s="227"/>
      <c r="G136" s="227"/>
      <c r="H136" s="455">
        <v>22420</v>
      </c>
      <c r="I136" s="456"/>
      <c r="J136" s="1"/>
      <c r="K136" s="1"/>
      <c r="L136" s="8"/>
      <c r="M136" s="1"/>
      <c r="N136" s="1"/>
      <c r="O136" s="1"/>
      <c r="P136" s="1"/>
      <c r="Q136" s="1"/>
      <c r="R136" s="1"/>
      <c r="S136" s="1"/>
      <c r="T136" s="1"/>
      <c r="U136" s="1"/>
      <c r="V136" s="8"/>
    </row>
    <row r="137" spans="2:22" ht="26.25" customHeight="1" x14ac:dyDescent="0.35">
      <c r="B137" s="225">
        <v>40179</v>
      </c>
      <c r="C137" s="225">
        <v>40268</v>
      </c>
      <c r="D137" s="226"/>
      <c r="E137" s="213">
        <f t="shared" si="16"/>
        <v>3</v>
      </c>
      <c r="F137" s="227"/>
      <c r="G137" s="227"/>
      <c r="H137" s="455">
        <v>22840</v>
      </c>
      <c r="I137" s="456"/>
      <c r="J137" s="1"/>
      <c r="K137" s="1"/>
      <c r="L137" s="8"/>
      <c r="M137" s="1"/>
      <c r="N137" s="1"/>
      <c r="O137" s="1"/>
      <c r="P137" s="1"/>
      <c r="Q137" s="1"/>
      <c r="R137" s="1"/>
      <c r="S137" s="1"/>
      <c r="T137" s="1"/>
      <c r="U137" s="1"/>
      <c r="V137" s="8"/>
    </row>
    <row r="138" spans="2:22" ht="26.25" customHeight="1" x14ac:dyDescent="0.35">
      <c r="B138" s="225">
        <v>40269</v>
      </c>
      <c r="C138" s="225">
        <v>40451</v>
      </c>
      <c r="D138" s="226"/>
      <c r="E138" s="213">
        <f t="shared" si="16"/>
        <v>6</v>
      </c>
      <c r="F138" s="227"/>
      <c r="G138" s="227"/>
      <c r="H138" s="455">
        <v>23180</v>
      </c>
      <c r="I138" s="456"/>
      <c r="J138" s="1"/>
      <c r="K138" s="1"/>
      <c r="L138" s="8"/>
      <c r="M138" s="1"/>
      <c r="N138" s="1"/>
      <c r="O138" s="1"/>
      <c r="P138" s="1"/>
      <c r="Q138" s="1"/>
      <c r="R138" s="1"/>
      <c r="S138" s="1"/>
      <c r="T138" s="1"/>
      <c r="U138" s="1"/>
      <c r="V138" s="8"/>
    </row>
    <row r="139" spans="2:22" ht="26.25" customHeight="1" x14ac:dyDescent="0.35">
      <c r="B139" s="225">
        <v>40452</v>
      </c>
      <c r="C139" s="225">
        <v>40633</v>
      </c>
      <c r="D139" s="226"/>
      <c r="E139" s="213">
        <f t="shared" si="16"/>
        <v>6</v>
      </c>
      <c r="F139" s="227"/>
      <c r="G139" s="227"/>
      <c r="H139" s="455"/>
      <c r="I139" s="456"/>
      <c r="J139" s="1"/>
      <c r="K139" s="1"/>
      <c r="L139" s="8"/>
      <c r="M139" s="1"/>
      <c r="N139" s="1"/>
      <c r="O139" s="1"/>
      <c r="P139" s="1"/>
      <c r="Q139" s="1"/>
      <c r="R139" s="1"/>
      <c r="S139" s="1"/>
      <c r="T139" s="1"/>
      <c r="U139" s="1"/>
      <c r="V139" s="8"/>
    </row>
    <row r="140" spans="2:22" ht="26.25" customHeight="1" x14ac:dyDescent="0.35">
      <c r="B140" s="225">
        <v>40634</v>
      </c>
      <c r="C140" s="225">
        <v>40816</v>
      </c>
      <c r="D140" s="226"/>
      <c r="E140" s="213">
        <f t="shared" si="16"/>
        <v>6</v>
      </c>
      <c r="F140" s="227"/>
      <c r="G140" s="227"/>
      <c r="H140" s="455"/>
      <c r="I140" s="456"/>
      <c r="J140" s="1"/>
      <c r="K140" s="1"/>
      <c r="L140" s="8"/>
      <c r="M140" s="1"/>
      <c r="N140" s="1"/>
      <c r="O140" s="1"/>
      <c r="P140" s="1"/>
      <c r="Q140" s="1"/>
      <c r="R140" s="1"/>
      <c r="S140" s="1"/>
      <c r="T140" s="1"/>
      <c r="U140" s="1"/>
      <c r="V140" s="8"/>
    </row>
    <row r="141" spans="2:22" ht="26.25" customHeight="1" x14ac:dyDescent="0.35">
      <c r="B141" s="225">
        <v>40817</v>
      </c>
      <c r="C141" s="225">
        <v>40999</v>
      </c>
      <c r="D141" s="226"/>
      <c r="E141" s="213">
        <f t="shared" si="16"/>
        <v>6</v>
      </c>
      <c r="F141" s="227"/>
      <c r="G141" s="227"/>
      <c r="H141" s="455"/>
      <c r="I141" s="456"/>
      <c r="J141" s="1"/>
      <c r="K141" s="1"/>
      <c r="L141" s="8"/>
      <c r="M141" s="1"/>
      <c r="N141" s="1"/>
      <c r="O141" s="1"/>
      <c r="P141" s="1"/>
      <c r="Q141" s="1"/>
      <c r="R141" s="1"/>
      <c r="S141" s="1"/>
      <c r="T141" s="1"/>
      <c r="U141" s="1"/>
      <c r="V141" s="8"/>
    </row>
    <row r="142" spans="2:22" ht="26.25" customHeight="1" x14ac:dyDescent="0.35">
      <c r="B142" s="225">
        <v>41000</v>
      </c>
      <c r="C142" s="225">
        <v>41182</v>
      </c>
      <c r="D142" s="226"/>
      <c r="E142" s="213">
        <f t="shared" si="16"/>
        <v>6</v>
      </c>
      <c r="F142" s="227"/>
      <c r="G142" s="227"/>
      <c r="H142" s="455"/>
      <c r="I142" s="456"/>
      <c r="J142" s="1"/>
      <c r="K142" s="1"/>
      <c r="L142" s="8"/>
      <c r="M142" s="1"/>
      <c r="N142" s="1"/>
      <c r="O142" s="1"/>
      <c r="P142" s="1"/>
      <c r="Q142" s="1"/>
      <c r="R142" s="1"/>
      <c r="S142" s="1"/>
      <c r="T142" s="1"/>
      <c r="U142" s="1"/>
      <c r="V142" s="8"/>
    </row>
    <row r="143" spans="2:22" ht="26.25" customHeight="1" x14ac:dyDescent="0.35">
      <c r="B143" s="225">
        <v>41183</v>
      </c>
      <c r="C143" s="225">
        <v>41364</v>
      </c>
      <c r="D143" s="226"/>
      <c r="E143" s="213">
        <f t="shared" si="16"/>
        <v>6</v>
      </c>
      <c r="F143" s="227"/>
      <c r="G143" s="227"/>
      <c r="H143" s="455"/>
      <c r="I143" s="456"/>
      <c r="J143" s="1"/>
      <c r="K143" s="1"/>
      <c r="L143" s="8"/>
      <c r="M143" s="1"/>
      <c r="N143" s="1"/>
      <c r="O143" s="1"/>
      <c r="P143" s="1"/>
      <c r="Q143" s="1"/>
      <c r="R143" s="1"/>
      <c r="S143" s="1"/>
      <c r="T143" s="1"/>
      <c r="U143" s="1"/>
      <c r="V143" s="8"/>
    </row>
    <row r="144" spans="2:22" ht="26.25" customHeight="1" x14ac:dyDescent="0.35">
      <c r="B144" s="225">
        <v>41365</v>
      </c>
      <c r="C144" s="225">
        <v>41394</v>
      </c>
      <c r="D144" s="226"/>
      <c r="E144" s="213">
        <f t="shared" si="16"/>
        <v>1</v>
      </c>
      <c r="F144" s="227"/>
      <c r="G144" s="227"/>
      <c r="H144" s="455"/>
      <c r="I144" s="456"/>
      <c r="J144" s="1"/>
      <c r="K144" s="1"/>
      <c r="L144" s="8"/>
      <c r="M144" s="1"/>
      <c r="N144" s="1"/>
      <c r="O144" s="1"/>
      <c r="P144" s="1"/>
      <c r="Q144" s="1"/>
      <c r="R144" s="1"/>
      <c r="S144" s="1"/>
      <c r="T144" s="1"/>
      <c r="U144" s="1"/>
      <c r="V144" s="8"/>
    </row>
    <row r="145" spans="2:22" ht="22.5" customHeight="1" x14ac:dyDescent="0.2">
      <c r="B145" s="221"/>
      <c r="C145" s="222" t="s">
        <v>68</v>
      </c>
      <c r="D145" s="223"/>
      <c r="E145" s="224">
        <f>SUM(E133:E144)</f>
        <v>60</v>
      </c>
      <c r="F145" s="221"/>
      <c r="G145" s="221"/>
      <c r="H145" s="221"/>
      <c r="I145" s="221"/>
      <c r="J145" s="1"/>
      <c r="K145" s="1"/>
      <c r="L145" s="8"/>
      <c r="M145" s="1"/>
      <c r="N145" s="1"/>
      <c r="O145" s="1"/>
      <c r="P145" s="1"/>
      <c r="Q145" s="1"/>
      <c r="R145" s="1"/>
      <c r="S145" s="1"/>
      <c r="T145" s="1"/>
      <c r="U145" s="1"/>
      <c r="V145" s="8"/>
    </row>
    <row r="146" spans="2:22" ht="20.2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8"/>
      <c r="M146" s="1"/>
      <c r="N146" s="1"/>
      <c r="O146" s="1"/>
      <c r="P146" s="1"/>
      <c r="Q146" s="1"/>
      <c r="R146" s="1"/>
      <c r="S146" s="1"/>
      <c r="T146" s="1"/>
      <c r="U146" s="1"/>
      <c r="V146" s="8"/>
    </row>
    <row r="147" spans="2:22" ht="30.75" customHeight="1" x14ac:dyDescent="0.65">
      <c r="B147" s="276" t="s">
        <v>171</v>
      </c>
      <c r="C147" s="1"/>
      <c r="D147" s="1"/>
      <c r="E147" s="1"/>
      <c r="F147" s="1"/>
      <c r="G147" s="1"/>
      <c r="H147" s="1"/>
      <c r="I147" s="1"/>
      <c r="J147" s="1"/>
      <c r="K147" s="1"/>
      <c r="L147" s="8"/>
      <c r="M147" s="1"/>
      <c r="N147" s="1"/>
      <c r="O147" s="1"/>
      <c r="P147" s="1"/>
      <c r="Q147" s="1"/>
      <c r="R147" s="1"/>
      <c r="S147" s="1"/>
      <c r="T147" s="1"/>
      <c r="U147" s="1"/>
      <c r="V147" s="8"/>
    </row>
    <row r="148" spans="2:22" ht="30.75" customHeight="1" x14ac:dyDescent="0.65">
      <c r="B148" s="276" t="s">
        <v>172</v>
      </c>
      <c r="C148" s="1"/>
      <c r="D148" s="1"/>
      <c r="E148" s="1"/>
      <c r="F148" s="1"/>
      <c r="G148" s="1"/>
      <c r="H148" s="1"/>
      <c r="I148" s="1"/>
      <c r="J148" s="1"/>
      <c r="K148" s="1"/>
      <c r="L148" s="8"/>
      <c r="M148" s="1"/>
      <c r="N148" s="1"/>
      <c r="O148" s="1"/>
      <c r="P148" s="1"/>
      <c r="Q148" s="1"/>
      <c r="R148" s="1"/>
      <c r="S148" s="1"/>
      <c r="T148" s="1"/>
      <c r="U148" s="1"/>
      <c r="V148" s="8"/>
    </row>
    <row r="149" spans="2:22" ht="30.75" customHeight="1" x14ac:dyDescent="0.65">
      <c r="B149" s="276" t="s">
        <v>222</v>
      </c>
      <c r="C149" s="356"/>
      <c r="D149" s="1"/>
      <c r="E149" s="1"/>
      <c r="F149" s="1"/>
      <c r="G149" s="1"/>
      <c r="H149" s="1"/>
      <c r="I149" s="1"/>
      <c r="J149" s="1"/>
      <c r="K149" s="1"/>
      <c r="L149" s="8"/>
      <c r="M149" s="1"/>
      <c r="N149" s="1"/>
      <c r="O149" s="1"/>
      <c r="P149" s="1"/>
      <c r="Q149" s="1"/>
      <c r="R149" s="1"/>
      <c r="S149" s="1"/>
      <c r="T149" s="1"/>
      <c r="U149" s="1"/>
      <c r="V149" s="8"/>
    </row>
    <row r="150" spans="2:22" ht="30.75" customHeight="1" x14ac:dyDescent="0.65">
      <c r="B150" s="276" t="s">
        <v>178</v>
      </c>
      <c r="C150" s="356"/>
      <c r="D150" s="1"/>
      <c r="E150" s="1"/>
      <c r="F150" s="1"/>
      <c r="G150" s="1"/>
      <c r="H150" s="1"/>
      <c r="I150" s="1"/>
      <c r="J150" s="1"/>
      <c r="K150" s="1"/>
      <c r="L150" s="8"/>
      <c r="M150" s="1"/>
      <c r="N150" s="1"/>
      <c r="O150" s="1"/>
      <c r="P150" s="1"/>
      <c r="Q150" s="1"/>
      <c r="R150" s="1"/>
      <c r="S150" s="1"/>
      <c r="T150" s="1"/>
      <c r="U150" s="1"/>
      <c r="V150" s="8"/>
    </row>
    <row r="151" spans="2:22" ht="30.75" customHeight="1" x14ac:dyDescent="0.65">
      <c r="B151" s="357" t="s">
        <v>176</v>
      </c>
      <c r="C151" s="276" t="s">
        <v>189</v>
      </c>
      <c r="D151" s="1"/>
      <c r="E151" s="1"/>
      <c r="F151" s="1"/>
      <c r="G151" s="1"/>
      <c r="H151" s="1"/>
      <c r="I151" s="1"/>
      <c r="J151" s="1"/>
      <c r="K151" s="1"/>
      <c r="L151" s="8"/>
      <c r="M151" s="1"/>
      <c r="N151" s="1"/>
      <c r="O151" s="1"/>
      <c r="P151" s="1"/>
      <c r="Q151" s="1"/>
      <c r="R151" s="1"/>
      <c r="S151" s="1"/>
      <c r="T151" s="1"/>
      <c r="U151" s="1"/>
      <c r="V151" s="8"/>
    </row>
    <row r="152" spans="2:22" ht="30.75" customHeight="1" x14ac:dyDescent="0.65">
      <c r="B152" s="357" t="s">
        <v>176</v>
      </c>
      <c r="C152" s="276" t="s">
        <v>190</v>
      </c>
      <c r="D152" s="1"/>
      <c r="E152" s="1"/>
      <c r="F152" s="1"/>
      <c r="G152" s="1"/>
      <c r="H152" s="1"/>
      <c r="I152" s="1"/>
      <c r="J152" s="1"/>
      <c r="K152" s="1"/>
      <c r="L152" s="8"/>
      <c r="M152" s="1"/>
      <c r="N152" s="1"/>
      <c r="O152" s="1"/>
      <c r="P152" s="1"/>
      <c r="Q152" s="1"/>
      <c r="R152" s="1"/>
      <c r="S152" s="1"/>
      <c r="T152" s="1"/>
      <c r="U152" s="1"/>
      <c r="V152" s="8"/>
    </row>
    <row r="153" spans="2:22" ht="30.75" customHeight="1" x14ac:dyDescent="0.65">
      <c r="B153" s="357" t="s">
        <v>176</v>
      </c>
      <c r="C153" s="276" t="s">
        <v>179</v>
      </c>
      <c r="D153" s="1"/>
      <c r="E153" s="1"/>
      <c r="F153" s="1"/>
      <c r="G153" s="1"/>
      <c r="H153" s="1"/>
      <c r="I153" s="1"/>
      <c r="J153" s="1"/>
      <c r="K153" s="1"/>
      <c r="L153" s="8"/>
      <c r="M153" s="1"/>
      <c r="N153" s="1"/>
      <c r="O153" s="1"/>
      <c r="P153" s="1"/>
      <c r="Q153" s="1"/>
      <c r="R153" s="1"/>
      <c r="S153" s="1"/>
      <c r="T153" s="1"/>
      <c r="U153" s="1"/>
      <c r="V153" s="8"/>
    </row>
    <row r="154" spans="2:22" ht="30.75" customHeight="1" x14ac:dyDescent="0.65">
      <c r="B154" s="285" t="s">
        <v>221</v>
      </c>
      <c r="C154" s="1"/>
      <c r="D154" s="1"/>
      <c r="E154" s="1"/>
      <c r="F154" s="1"/>
      <c r="G154" s="1"/>
      <c r="H154" s="1"/>
      <c r="I154" s="1"/>
      <c r="J154" s="1"/>
      <c r="K154" s="1"/>
      <c r="L154" s="8"/>
      <c r="M154" s="1"/>
      <c r="N154" s="1"/>
      <c r="O154" s="1"/>
      <c r="P154" s="1"/>
      <c r="Q154" s="1"/>
      <c r="R154" s="1"/>
      <c r="S154" s="1"/>
      <c r="T154" s="1"/>
      <c r="U154" s="1"/>
      <c r="V154" s="8"/>
    </row>
    <row r="155" spans="2:22" ht="30.75" customHeight="1" x14ac:dyDescent="0.65">
      <c r="B155" s="285" t="s">
        <v>220</v>
      </c>
      <c r="C155" s="1"/>
      <c r="D155" s="1"/>
      <c r="E155" s="1"/>
      <c r="F155" s="1"/>
      <c r="G155" s="1"/>
      <c r="H155" s="1"/>
      <c r="I155" s="1"/>
      <c r="J155" s="1"/>
      <c r="K155" s="1"/>
      <c r="L155" s="8"/>
      <c r="M155" s="1"/>
      <c r="N155" s="1"/>
      <c r="O155" s="1"/>
      <c r="P155" s="1"/>
      <c r="Q155" s="1"/>
      <c r="R155" s="1"/>
      <c r="S155" s="1"/>
      <c r="T155" s="1"/>
      <c r="U155" s="1"/>
      <c r="V155" s="8"/>
    </row>
    <row r="156" spans="2:22" ht="30.75" customHeight="1" x14ac:dyDescent="0.65">
      <c r="B156" s="276" t="s">
        <v>182</v>
      </c>
      <c r="C156" s="1"/>
      <c r="D156" s="1"/>
      <c r="E156" s="1"/>
      <c r="F156" s="1"/>
      <c r="G156" s="1"/>
      <c r="H156" s="1"/>
      <c r="I156" s="1"/>
      <c r="J156" s="1"/>
      <c r="K156" s="1"/>
      <c r="L156" s="8"/>
      <c r="M156" s="1"/>
      <c r="N156" s="1"/>
      <c r="O156" s="1"/>
      <c r="P156" s="1"/>
      <c r="Q156" s="1"/>
      <c r="R156" s="1"/>
      <c r="S156" s="1"/>
      <c r="T156" s="1"/>
      <c r="U156" s="1"/>
      <c r="V156" s="8"/>
    </row>
    <row r="157" spans="2:22" ht="29.25" customHeight="1" x14ac:dyDescent="0.65">
      <c r="B157" s="276" t="s">
        <v>99</v>
      </c>
      <c r="C157" s="1"/>
      <c r="D157" s="1"/>
      <c r="E157" s="1"/>
      <c r="F157" s="1"/>
      <c r="G157" s="1"/>
      <c r="H157" s="1"/>
      <c r="I157" s="1"/>
      <c r="J157" s="1"/>
      <c r="K157" s="1"/>
      <c r="L157" s="8"/>
      <c r="M157" s="1"/>
      <c r="N157" s="1"/>
      <c r="O157" s="1"/>
      <c r="P157" s="1"/>
      <c r="Q157" s="1"/>
      <c r="R157" s="1"/>
      <c r="S157" s="1"/>
      <c r="T157" s="1"/>
      <c r="U157" s="1"/>
      <c r="V157" s="8"/>
    </row>
    <row r="158" spans="2:22" ht="34.5" customHeight="1" x14ac:dyDescent="0.65">
      <c r="B158" s="276" t="s">
        <v>79</v>
      </c>
      <c r="C158" s="1"/>
      <c r="D158" s="1"/>
      <c r="E158" s="1"/>
      <c r="F158" s="1"/>
      <c r="G158" s="1"/>
      <c r="H158" s="1"/>
      <c r="I158" s="1"/>
      <c r="J158" s="1"/>
      <c r="K158" s="1"/>
      <c r="L158" s="8"/>
      <c r="M158" s="1"/>
      <c r="N158" s="1"/>
      <c r="O158" s="1"/>
      <c r="P158" s="1"/>
      <c r="Q158" s="1"/>
      <c r="R158" s="1"/>
      <c r="S158" s="1"/>
      <c r="T158" s="1"/>
      <c r="U158" s="1"/>
      <c r="V158" s="8"/>
    </row>
    <row r="159" spans="2:22" ht="34.5" customHeight="1" x14ac:dyDescent="0.65">
      <c r="B159" s="276" t="s">
        <v>80</v>
      </c>
      <c r="C159" s="1"/>
      <c r="D159" s="1"/>
      <c r="E159" s="1"/>
      <c r="F159" s="1"/>
      <c r="G159" s="1"/>
      <c r="H159" s="1"/>
      <c r="I159" s="1"/>
      <c r="J159" s="1"/>
      <c r="K159" s="1"/>
      <c r="L159" s="8"/>
      <c r="M159" s="1"/>
      <c r="N159" s="1"/>
      <c r="O159" s="1"/>
      <c r="P159" s="1"/>
      <c r="Q159" s="1"/>
      <c r="R159" s="1"/>
      <c r="S159" s="1"/>
      <c r="T159" s="1"/>
      <c r="U159" s="1"/>
      <c r="V159" s="8"/>
    </row>
    <row r="160" spans="2:22" ht="34.5" customHeight="1" x14ac:dyDescent="0.65">
      <c r="B160" s="276" t="s">
        <v>81</v>
      </c>
      <c r="C160" s="1"/>
      <c r="D160" s="1"/>
      <c r="E160" s="1"/>
      <c r="F160" s="1"/>
      <c r="G160" s="1"/>
      <c r="H160" s="1"/>
      <c r="I160" s="1"/>
      <c r="J160" s="1"/>
      <c r="K160" s="1"/>
      <c r="L160" s="8"/>
      <c r="M160" s="1"/>
      <c r="N160" s="1"/>
      <c r="O160" s="1"/>
      <c r="P160" s="1"/>
      <c r="Q160" s="1"/>
      <c r="R160" s="1"/>
      <c r="S160" s="1"/>
      <c r="T160" s="1"/>
      <c r="U160" s="1"/>
      <c r="V160" s="8"/>
    </row>
    <row r="161" spans="2:22" ht="15" customHeight="1" x14ac:dyDescent="0.2">
      <c r="B161" s="232"/>
      <c r="C161" s="1"/>
      <c r="D161" s="1"/>
      <c r="E161" s="1"/>
      <c r="F161" s="1"/>
      <c r="G161" s="1"/>
      <c r="H161" s="1"/>
      <c r="I161" s="1"/>
      <c r="J161" s="1"/>
      <c r="K161" s="1"/>
      <c r="L161" s="8"/>
      <c r="M161" s="1"/>
      <c r="N161" s="1"/>
      <c r="O161" s="1"/>
      <c r="P161" s="1"/>
      <c r="Q161" s="1"/>
      <c r="R161" s="1"/>
      <c r="S161" s="1"/>
      <c r="T161" s="1"/>
      <c r="U161" s="1"/>
      <c r="V161" s="8"/>
    </row>
    <row r="162" spans="2:22" ht="20.25" customHeight="1" x14ac:dyDescent="0.2">
      <c r="B162" s="232"/>
      <c r="C162" s="1"/>
      <c r="D162" s="1"/>
      <c r="E162" s="1"/>
      <c r="F162" s="1"/>
      <c r="G162" s="1"/>
      <c r="H162" s="1"/>
      <c r="I162" s="1"/>
      <c r="J162" s="1"/>
      <c r="K162" s="1"/>
      <c r="L162" s="8"/>
      <c r="M162" s="1"/>
      <c r="N162" s="1"/>
      <c r="O162" s="1"/>
      <c r="P162" s="1"/>
      <c r="Q162" s="1"/>
      <c r="R162" s="1"/>
      <c r="S162" s="1"/>
      <c r="T162" s="1"/>
      <c r="U162" s="1"/>
      <c r="V162" s="8"/>
    </row>
    <row r="163" spans="2:22" ht="20.2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8"/>
      <c r="M163" s="1"/>
      <c r="N163" s="1"/>
      <c r="O163" s="1"/>
      <c r="P163" s="1"/>
      <c r="Q163" s="1"/>
      <c r="R163" s="1"/>
      <c r="S163" s="1"/>
      <c r="T163" s="1"/>
      <c r="U163" s="1"/>
      <c r="V163" s="8"/>
    </row>
    <row r="164" spans="2:22" ht="20.2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8"/>
      <c r="M164" s="1"/>
      <c r="N164" s="1"/>
      <c r="O164" s="1"/>
      <c r="P164" s="1"/>
      <c r="Q164" s="1"/>
      <c r="R164" s="1"/>
      <c r="S164" s="1"/>
      <c r="T164" s="1"/>
      <c r="U164" s="1"/>
      <c r="V164" s="8"/>
    </row>
    <row r="165" spans="2:22" ht="20.2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8"/>
      <c r="M165" s="1"/>
      <c r="N165" s="1"/>
      <c r="O165" s="1"/>
      <c r="P165" s="1"/>
      <c r="Q165" s="1"/>
      <c r="R165" s="1"/>
      <c r="S165" s="1"/>
      <c r="T165" s="1"/>
      <c r="U165" s="1"/>
      <c r="V165" s="8"/>
    </row>
    <row r="166" spans="2:22" ht="20.2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8"/>
      <c r="M166" s="1"/>
      <c r="N166" s="1"/>
      <c r="O166" s="1"/>
      <c r="P166" s="1"/>
      <c r="Q166" s="1"/>
      <c r="R166" s="1"/>
      <c r="S166" s="1"/>
      <c r="T166" s="1"/>
      <c r="U166" s="1"/>
      <c r="V166" s="8"/>
    </row>
    <row r="167" spans="2:22" ht="20.2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8"/>
      <c r="M167" s="1"/>
      <c r="N167" s="1"/>
      <c r="O167" s="1"/>
      <c r="P167" s="1"/>
      <c r="Q167" s="1"/>
      <c r="R167" s="1"/>
      <c r="S167" s="1"/>
      <c r="T167" s="1"/>
      <c r="U167" s="1"/>
      <c r="V167" s="8"/>
    </row>
    <row r="168" spans="2:22" ht="20.2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8"/>
      <c r="M168" s="1"/>
      <c r="N168" s="1"/>
      <c r="O168" s="1"/>
      <c r="P168" s="1"/>
      <c r="Q168" s="1"/>
      <c r="R168" s="1"/>
      <c r="S168" s="1"/>
      <c r="T168" s="1"/>
      <c r="U168" s="1"/>
      <c r="V168" s="8"/>
    </row>
    <row r="169" spans="2:22" ht="20.2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8"/>
      <c r="M169" s="1"/>
      <c r="N169" s="1"/>
      <c r="O169" s="1"/>
      <c r="P169" s="1"/>
      <c r="Q169" s="1"/>
      <c r="R169" s="1"/>
      <c r="S169" s="1"/>
      <c r="T169" s="1"/>
      <c r="U169" s="1"/>
      <c r="V169" s="8"/>
    </row>
    <row r="170" spans="2:22" ht="20.2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8"/>
      <c r="M170" s="1"/>
      <c r="N170" s="1"/>
      <c r="O170" s="1"/>
      <c r="P170" s="1"/>
      <c r="Q170" s="1"/>
      <c r="R170" s="1"/>
      <c r="S170" s="1"/>
      <c r="T170" s="1"/>
      <c r="U170" s="1"/>
      <c r="V170" s="8"/>
    </row>
    <row r="171" spans="2:22" ht="20.2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8"/>
      <c r="M171" s="1"/>
      <c r="N171" s="1"/>
      <c r="O171" s="1"/>
      <c r="P171" s="1"/>
      <c r="Q171" s="1"/>
      <c r="R171" s="1"/>
      <c r="S171" s="1"/>
      <c r="T171" s="1"/>
      <c r="U171" s="1"/>
      <c r="V171" s="8"/>
    </row>
    <row r="172" spans="2:22" ht="20.2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8"/>
      <c r="M172" s="1"/>
      <c r="N172" s="1"/>
      <c r="O172" s="1"/>
      <c r="P172" s="1"/>
      <c r="Q172" s="1"/>
      <c r="R172" s="1"/>
      <c r="S172" s="1"/>
      <c r="T172" s="1"/>
      <c r="U172" s="1"/>
      <c r="V172" s="8"/>
    </row>
    <row r="173" spans="2:22" ht="20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8"/>
      <c r="M173" s="1"/>
      <c r="N173" s="1"/>
      <c r="O173" s="1"/>
      <c r="P173" s="1"/>
      <c r="Q173" s="1"/>
      <c r="R173" s="1"/>
      <c r="S173" s="1"/>
      <c r="T173" s="1"/>
      <c r="U173" s="1"/>
      <c r="V173" s="8"/>
    </row>
    <row r="174" spans="2:22" ht="20.2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8"/>
      <c r="M174" s="1"/>
      <c r="N174" s="1"/>
      <c r="O174" s="1"/>
      <c r="P174" s="1"/>
      <c r="Q174" s="1"/>
      <c r="R174" s="1"/>
      <c r="S174" s="1"/>
      <c r="T174" s="1"/>
      <c r="U174" s="1"/>
      <c r="V174" s="8"/>
    </row>
    <row r="175" spans="2:22" ht="20.2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8"/>
      <c r="M175" s="1"/>
      <c r="N175" s="1"/>
      <c r="O175" s="1"/>
      <c r="P175" s="1"/>
      <c r="Q175" s="1"/>
      <c r="R175" s="1"/>
      <c r="S175" s="1"/>
      <c r="T175" s="1"/>
      <c r="U175" s="1"/>
      <c r="V175" s="8"/>
    </row>
    <row r="176" spans="2:22" ht="20.2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8"/>
      <c r="M176" s="1"/>
      <c r="N176" s="1"/>
      <c r="O176" s="1"/>
      <c r="P176" s="1"/>
      <c r="Q176" s="1"/>
      <c r="R176" s="1"/>
      <c r="S176" s="1"/>
      <c r="T176" s="1"/>
      <c r="U176" s="1"/>
      <c r="V176" s="8"/>
    </row>
    <row r="177" spans="2:22" ht="20.2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8"/>
      <c r="M177" s="1"/>
      <c r="N177" s="1"/>
      <c r="O177" s="1"/>
      <c r="P177" s="1"/>
      <c r="Q177" s="1"/>
      <c r="R177" s="1"/>
      <c r="S177" s="1"/>
      <c r="T177" s="1"/>
      <c r="U177" s="1"/>
      <c r="V177" s="8"/>
    </row>
    <row r="178" spans="2:22" ht="20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8"/>
      <c r="M178" s="1"/>
      <c r="N178" s="1"/>
      <c r="O178" s="1"/>
      <c r="P178" s="1"/>
      <c r="Q178" s="1"/>
      <c r="R178" s="1"/>
      <c r="S178" s="1"/>
      <c r="T178" s="1"/>
      <c r="U178" s="1"/>
      <c r="V178" s="8"/>
    </row>
    <row r="179" spans="2:22" ht="20.2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8"/>
      <c r="M179" s="1"/>
      <c r="N179" s="1"/>
      <c r="O179" s="1"/>
      <c r="P179" s="1"/>
      <c r="Q179" s="1"/>
      <c r="R179" s="1"/>
      <c r="S179" s="1"/>
      <c r="T179" s="1"/>
      <c r="U179" s="1"/>
      <c r="V179" s="8"/>
    </row>
  </sheetData>
  <sheetProtection algorithmName="SHA-512" hashValue="sp2FFdLSUG0uj6lnR1vF0nswx4PxsqvPs7YJB640hyPRf1043s8kbrPVsPT6p+SH+JbTOEy6XytO8iHx6MrWGA==" saltValue="+DcQScR8PIVR75g10fXXag==" spinCount="100000" sheet="1" objects="1" scenarios="1" selectLockedCells="1"/>
  <mergeCells count="133">
    <mergeCell ref="B1:V1"/>
    <mergeCell ref="B2:V2"/>
    <mergeCell ref="B3:Q3"/>
    <mergeCell ref="B4:Q4"/>
    <mergeCell ref="B5:C5"/>
    <mergeCell ref="I5:Q6"/>
    <mergeCell ref="B6:C6"/>
    <mergeCell ref="L29:M29"/>
    <mergeCell ref="I29:J29"/>
    <mergeCell ref="I26:J26"/>
    <mergeCell ref="I27:J27"/>
    <mergeCell ref="B9:C9"/>
    <mergeCell ref="I9:J9"/>
    <mergeCell ref="L9:M9"/>
    <mergeCell ref="B10:C10"/>
    <mergeCell ref="I10:J10"/>
    <mergeCell ref="L10:M10"/>
    <mergeCell ref="B7:C7"/>
    <mergeCell ref="I7:J7"/>
    <mergeCell ref="L7:M7"/>
    <mergeCell ref="B8:C8"/>
    <mergeCell ref="I8:J8"/>
    <mergeCell ref="L8:M8"/>
    <mergeCell ref="I13:J13"/>
    <mergeCell ref="L13:M13"/>
    <mergeCell ref="I14:J14"/>
    <mergeCell ref="L14:M14"/>
    <mergeCell ref="I15:J15"/>
    <mergeCell ref="L15:M15"/>
    <mergeCell ref="B11:C11"/>
    <mergeCell ref="I11:J11"/>
    <mergeCell ref="L11:M11"/>
    <mergeCell ref="B12:C12"/>
    <mergeCell ref="I12:J12"/>
    <mergeCell ref="L12:M12"/>
    <mergeCell ref="I16:J16"/>
    <mergeCell ref="L16:M16"/>
    <mergeCell ref="L17:M17"/>
    <mergeCell ref="L18:M18"/>
    <mergeCell ref="L19:M19"/>
    <mergeCell ref="I20:J20"/>
    <mergeCell ref="L20:M20"/>
    <mergeCell ref="L30:M30"/>
    <mergeCell ref="L31:M31"/>
    <mergeCell ref="I23:J23"/>
    <mergeCell ref="I25:J25"/>
    <mergeCell ref="L25:M25"/>
    <mergeCell ref="L26:M26"/>
    <mergeCell ref="L27:M27"/>
    <mergeCell ref="L28:M28"/>
    <mergeCell ref="I31:J31"/>
    <mergeCell ref="H43:I43"/>
    <mergeCell ref="L43:M43"/>
    <mergeCell ref="H44:I44"/>
    <mergeCell ref="L44:M44"/>
    <mergeCell ref="H45:I45"/>
    <mergeCell ref="L45:M45"/>
    <mergeCell ref="H40:I40"/>
    <mergeCell ref="L40:M40"/>
    <mergeCell ref="H41:I41"/>
    <mergeCell ref="L41:M41"/>
    <mergeCell ref="H42:I42"/>
    <mergeCell ref="L42:M42"/>
    <mergeCell ref="E55:M55"/>
    <mergeCell ref="H49:I49"/>
    <mergeCell ref="L49:M49"/>
    <mergeCell ref="H50:I50"/>
    <mergeCell ref="L50:M50"/>
    <mergeCell ref="H51:I51"/>
    <mergeCell ref="L51:M51"/>
    <mergeCell ref="H46:I46"/>
    <mergeCell ref="L46:M46"/>
    <mergeCell ref="H47:I47"/>
    <mergeCell ref="L47:M47"/>
    <mergeCell ref="H48:I48"/>
    <mergeCell ref="L48:M48"/>
    <mergeCell ref="H144:I144"/>
    <mergeCell ref="I21:J21"/>
    <mergeCell ref="L21:M21"/>
    <mergeCell ref="I22:J22"/>
    <mergeCell ref="L22:M22"/>
    <mergeCell ref="L23:M23"/>
    <mergeCell ref="L24:M24"/>
    <mergeCell ref="I24:J24"/>
    <mergeCell ref="H136:I136"/>
    <mergeCell ref="H137:I137"/>
    <mergeCell ref="H138:I138"/>
    <mergeCell ref="H139:I139"/>
    <mergeCell ref="H140:I140"/>
    <mergeCell ref="H141:I141"/>
    <mergeCell ref="H123:I123"/>
    <mergeCell ref="H124:I124"/>
    <mergeCell ref="H132:I132"/>
    <mergeCell ref="H133:I133"/>
    <mergeCell ref="H134:I134"/>
    <mergeCell ref="H135:I135"/>
    <mergeCell ref="H117:I117"/>
    <mergeCell ref="H118:I118"/>
    <mergeCell ref="H119:I119"/>
    <mergeCell ref="H120:I120"/>
    <mergeCell ref="H143:I143"/>
    <mergeCell ref="H121:I121"/>
    <mergeCell ref="H122:I122"/>
    <mergeCell ref="H105:I105"/>
    <mergeCell ref="H106:I106"/>
    <mergeCell ref="H113:I113"/>
    <mergeCell ref="H114:I114"/>
    <mergeCell ref="H115:I115"/>
    <mergeCell ref="H116:I116"/>
    <mergeCell ref="H99:I99"/>
    <mergeCell ref="H100:I100"/>
    <mergeCell ref="H101:I101"/>
    <mergeCell ref="H102:I102"/>
    <mergeCell ref="H103:I103"/>
    <mergeCell ref="H104:I104"/>
    <mergeCell ref="H89:I89"/>
    <mergeCell ref="B21:H21"/>
    <mergeCell ref="H142:I142"/>
    <mergeCell ref="H90:I90"/>
    <mergeCell ref="H95:I95"/>
    <mergeCell ref="H96:I96"/>
    <mergeCell ref="H97:I97"/>
    <mergeCell ref="H98:I98"/>
    <mergeCell ref="B73:L73"/>
    <mergeCell ref="H85:I85"/>
    <mergeCell ref="H86:I86"/>
    <mergeCell ref="H87:I87"/>
    <mergeCell ref="H88:I88"/>
    <mergeCell ref="H52:I52"/>
    <mergeCell ref="L52:M52"/>
    <mergeCell ref="H53:I53"/>
    <mergeCell ref="L53:M53"/>
    <mergeCell ref="B54:C54"/>
  </mergeCells>
  <pageMargins left="0.39370078740157483" right="0.11811023622047245" top="0.31496062992125984" bottom="0.19685039370078741" header="0.15748031496062992" footer="0.15748031496062992"/>
  <pageSetup paperSize="9" scale="70" orientation="portrait" r:id="rId1"/>
  <headerFooter>
    <oddHeader xml:space="preserve">&amp;R&amp;A / &amp;F      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0"/>
  <sheetViews>
    <sheetView topLeftCell="A16" zoomScale="94" zoomScaleNormal="94" workbookViewId="0">
      <selection activeCell="E30" sqref="E30:G30"/>
    </sheetView>
  </sheetViews>
  <sheetFormatPr defaultRowHeight="15" x14ac:dyDescent="0.2"/>
  <cols>
    <col min="1" max="1" width="17.625" style="337" customWidth="1"/>
    <col min="2" max="2" width="17.375" style="337" customWidth="1"/>
    <col min="3" max="3" width="2.5" style="337" customWidth="1"/>
    <col min="4" max="4" width="18.25" style="337" hidden="1" customWidth="1"/>
    <col min="5" max="5" width="17.5" style="337" customWidth="1"/>
    <col min="6" max="6" width="18.5" style="337" customWidth="1"/>
    <col min="7" max="7" width="10.875" style="337" customWidth="1"/>
    <col min="8" max="8" width="15" style="346" customWidth="1"/>
    <col min="9" max="10" width="17" style="337" hidden="1" customWidth="1"/>
    <col min="11" max="11" width="10.875" style="337" customWidth="1"/>
    <col min="12" max="12" width="11.25" style="337" customWidth="1"/>
    <col min="13" max="13" width="10.375" style="337" customWidth="1"/>
    <col min="14" max="14" width="1.75" style="337" customWidth="1"/>
    <col min="15" max="15" width="10.875" style="337" customWidth="1"/>
    <col min="16" max="16" width="12.125" style="337" customWidth="1"/>
    <col min="17" max="17" width="15.625" style="337" customWidth="1"/>
    <col min="18" max="16384" width="9" style="337"/>
  </cols>
  <sheetData>
    <row r="1" spans="1:20" ht="20.25" customHeight="1" x14ac:dyDescent="0.25">
      <c r="A1" s="511" t="s">
        <v>100</v>
      </c>
      <c r="B1" s="511"/>
      <c r="C1" s="511"/>
      <c r="D1" s="511"/>
      <c r="E1" s="511"/>
      <c r="F1" s="511"/>
      <c r="G1" s="511"/>
      <c r="H1" s="511"/>
      <c r="J1" s="233"/>
      <c r="K1" s="512" t="s">
        <v>101</v>
      </c>
      <c r="L1" s="512"/>
      <c r="M1" s="512"/>
      <c r="N1" s="512"/>
      <c r="O1" s="512"/>
      <c r="P1" s="512"/>
      <c r="Q1" s="512"/>
      <c r="R1" s="1"/>
      <c r="S1" s="1"/>
      <c r="T1" s="1"/>
    </row>
    <row r="2" spans="1:20" ht="2.25" customHeight="1" x14ac:dyDescent="0.2">
      <c r="A2" s="1"/>
      <c r="B2" s="1"/>
      <c r="C2" s="1"/>
      <c r="D2" s="1"/>
      <c r="E2" s="1"/>
      <c r="F2" s="1"/>
      <c r="G2" s="1"/>
      <c r="H2" s="338"/>
      <c r="J2" s="233"/>
      <c r="K2" s="512"/>
      <c r="L2" s="512"/>
      <c r="M2" s="512"/>
      <c r="N2" s="512"/>
      <c r="O2" s="512"/>
      <c r="P2" s="512"/>
      <c r="Q2" s="512"/>
      <c r="R2" s="1"/>
      <c r="S2" s="1"/>
      <c r="T2" s="1"/>
    </row>
    <row r="3" spans="1:20" ht="56.25" customHeight="1" x14ac:dyDescent="0.2">
      <c r="A3" s="513" t="s">
        <v>102</v>
      </c>
      <c r="B3" s="594" t="s">
        <v>210</v>
      </c>
      <c r="C3" s="595"/>
      <c r="D3" s="287"/>
      <c r="E3" s="287" t="s">
        <v>104</v>
      </c>
      <c r="F3" s="288" t="s">
        <v>105</v>
      </c>
      <c r="G3" s="289" t="s">
        <v>209</v>
      </c>
      <c r="H3" s="359" t="s">
        <v>157</v>
      </c>
      <c r="J3" s="233"/>
      <c r="K3" s="515" t="s">
        <v>108</v>
      </c>
      <c r="L3" s="515"/>
      <c r="M3" s="515"/>
      <c r="N3" s="515"/>
      <c r="O3" s="515"/>
      <c r="P3" s="515"/>
      <c r="Q3" s="515"/>
      <c r="R3" s="1"/>
      <c r="S3" s="1"/>
      <c r="T3" s="1"/>
    </row>
    <row r="4" spans="1:20" ht="19.5" customHeight="1" x14ac:dyDescent="0.2">
      <c r="A4" s="514"/>
      <c r="B4" s="596" t="s">
        <v>109</v>
      </c>
      <c r="C4" s="597"/>
      <c r="D4" s="291"/>
      <c r="E4" s="292" t="s">
        <v>110</v>
      </c>
      <c r="F4" s="292" t="s">
        <v>111</v>
      </c>
      <c r="G4" s="292" t="s">
        <v>112</v>
      </c>
      <c r="H4" s="358" t="s">
        <v>113</v>
      </c>
      <c r="J4" s="233"/>
      <c r="K4" s="516" t="s">
        <v>114</v>
      </c>
      <c r="L4" s="507" t="s">
        <v>115</v>
      </c>
      <c r="M4" s="507" t="s">
        <v>116</v>
      </c>
      <c r="N4" s="507"/>
      <c r="O4" s="507"/>
      <c r="P4" s="518" t="s">
        <v>105</v>
      </c>
      <c r="Q4" s="518"/>
      <c r="R4" s="1"/>
      <c r="S4" s="1"/>
      <c r="T4" s="1"/>
    </row>
    <row r="5" spans="1:20" ht="40.5" customHeight="1" x14ac:dyDescent="0.2">
      <c r="A5" s="293" t="s">
        <v>117</v>
      </c>
      <c r="B5" s="592">
        <v>35010</v>
      </c>
      <c r="C5" s="593"/>
      <c r="D5" s="339"/>
      <c r="E5" s="372" t="s">
        <v>118</v>
      </c>
      <c r="F5" s="372" t="s">
        <v>118</v>
      </c>
      <c r="G5" s="373" t="s">
        <v>208</v>
      </c>
      <c r="H5" s="340" t="s">
        <v>118</v>
      </c>
      <c r="J5" s="233"/>
      <c r="K5" s="517"/>
      <c r="L5" s="507"/>
      <c r="M5" s="507"/>
      <c r="N5" s="507"/>
      <c r="O5" s="507"/>
      <c r="P5" s="299" t="s">
        <v>115</v>
      </c>
      <c r="Q5" s="299" t="s">
        <v>119</v>
      </c>
      <c r="R5" s="1"/>
      <c r="S5" s="1"/>
      <c r="T5" s="1"/>
    </row>
    <row r="6" spans="1:20" ht="21" customHeight="1" x14ac:dyDescent="0.2">
      <c r="A6" s="300">
        <v>41913</v>
      </c>
      <c r="B6" s="525">
        <f t="shared" ref="B6:B25" si="0">IF(D6&lt;E6,D6,E6)</f>
        <v>35950</v>
      </c>
      <c r="C6" s="526"/>
      <c r="D6" s="341">
        <f>B5+H6</f>
        <v>35950</v>
      </c>
      <c r="E6" s="342">
        <v>39630</v>
      </c>
      <c r="F6" s="342">
        <v>33490</v>
      </c>
      <c r="G6" s="343">
        <v>2.8</v>
      </c>
      <c r="H6" s="305">
        <f t="shared" ref="H6:H32" si="1">CEILING(I6,10)</f>
        <v>940</v>
      </c>
      <c r="I6" s="344">
        <f t="shared" ref="I6:I52" si="2">F6*G6/100</f>
        <v>937.72</v>
      </c>
      <c r="J6" s="345"/>
      <c r="K6" s="507" t="s">
        <v>120</v>
      </c>
      <c r="L6" s="507" t="s">
        <v>121</v>
      </c>
      <c r="M6" s="307">
        <v>64740</v>
      </c>
      <c r="N6" s="308" t="s">
        <v>122</v>
      </c>
      <c r="O6" s="309">
        <v>69810</v>
      </c>
      <c r="P6" s="310" t="s">
        <v>123</v>
      </c>
      <c r="Q6" s="311">
        <v>66460</v>
      </c>
      <c r="R6" s="1"/>
      <c r="S6" s="1"/>
      <c r="T6" s="1"/>
    </row>
    <row r="7" spans="1:20" ht="21" customHeight="1" x14ac:dyDescent="0.2">
      <c r="A7" s="300">
        <v>42095</v>
      </c>
      <c r="B7" s="525">
        <f t="shared" si="0"/>
        <v>36890</v>
      </c>
      <c r="C7" s="526"/>
      <c r="D7" s="132">
        <f>B6+H7</f>
        <v>36890</v>
      </c>
      <c r="E7" s="342">
        <v>39630</v>
      </c>
      <c r="F7" s="342">
        <v>33490</v>
      </c>
      <c r="G7" s="343">
        <v>2.8</v>
      </c>
      <c r="H7" s="305">
        <f t="shared" si="1"/>
        <v>940</v>
      </c>
      <c r="I7" s="344">
        <f t="shared" si="2"/>
        <v>937.72</v>
      </c>
      <c r="J7" s="345"/>
      <c r="K7" s="507"/>
      <c r="L7" s="507"/>
      <c r="M7" s="312">
        <v>29980</v>
      </c>
      <c r="N7" s="313" t="s">
        <v>122</v>
      </c>
      <c r="O7" s="314">
        <v>64730</v>
      </c>
      <c r="P7" s="315" t="s">
        <v>124</v>
      </c>
      <c r="Q7" s="316">
        <v>64730</v>
      </c>
      <c r="R7" s="1"/>
      <c r="S7" s="1"/>
      <c r="T7" s="1"/>
    </row>
    <row r="8" spans="1:20" ht="21" customHeight="1" x14ac:dyDescent="0.2">
      <c r="A8" s="300">
        <v>42278</v>
      </c>
      <c r="B8" s="525">
        <f t="shared" si="0"/>
        <v>37830</v>
      </c>
      <c r="C8" s="526"/>
      <c r="D8" s="132">
        <f>B7+H8</f>
        <v>37830</v>
      </c>
      <c r="E8" s="342">
        <v>39630</v>
      </c>
      <c r="F8" s="342">
        <v>33490</v>
      </c>
      <c r="G8" s="343">
        <v>2.8</v>
      </c>
      <c r="H8" s="305">
        <f t="shared" si="1"/>
        <v>940</v>
      </c>
      <c r="I8" s="344">
        <f t="shared" si="2"/>
        <v>937.72</v>
      </c>
      <c r="J8" s="345"/>
      <c r="K8" s="507"/>
      <c r="L8" s="507" t="s">
        <v>125</v>
      </c>
      <c r="M8" s="307">
        <v>59360</v>
      </c>
      <c r="N8" s="308" t="s">
        <v>122</v>
      </c>
      <c r="O8" s="309">
        <v>67560</v>
      </c>
      <c r="P8" s="310" t="s">
        <v>123</v>
      </c>
      <c r="Q8" s="311">
        <v>63460</v>
      </c>
      <c r="R8" s="1"/>
      <c r="S8" s="1"/>
      <c r="T8" s="1"/>
    </row>
    <row r="9" spans="1:20" ht="21" customHeight="1" x14ac:dyDescent="0.2">
      <c r="A9" s="300">
        <v>42461</v>
      </c>
      <c r="B9" s="525">
        <f t="shared" si="0"/>
        <v>38770</v>
      </c>
      <c r="C9" s="526"/>
      <c r="D9" s="132">
        <f>B8+H9</f>
        <v>38770</v>
      </c>
      <c r="E9" s="342">
        <v>39630</v>
      </c>
      <c r="F9" s="342">
        <v>33490</v>
      </c>
      <c r="G9" s="343">
        <v>2.8</v>
      </c>
      <c r="H9" s="305">
        <f t="shared" si="1"/>
        <v>940</v>
      </c>
      <c r="I9" s="344">
        <f t="shared" si="2"/>
        <v>937.72</v>
      </c>
      <c r="J9" s="345"/>
      <c r="K9" s="507"/>
      <c r="L9" s="507"/>
      <c r="M9" s="312">
        <v>24400</v>
      </c>
      <c r="N9" s="313" t="s">
        <v>122</v>
      </c>
      <c r="O9" s="314">
        <v>59350</v>
      </c>
      <c r="P9" s="315" t="s">
        <v>124</v>
      </c>
      <c r="Q9" s="316">
        <v>57320</v>
      </c>
      <c r="R9" s="1"/>
      <c r="S9" s="1"/>
      <c r="T9" s="1"/>
    </row>
    <row r="10" spans="1:20" ht="21" customHeight="1" x14ac:dyDescent="0.2">
      <c r="A10" s="300">
        <v>42644</v>
      </c>
      <c r="B10" s="525">
        <f t="shared" si="0"/>
        <v>39630</v>
      </c>
      <c r="C10" s="526"/>
      <c r="D10" s="132">
        <f t="shared" ref="D10:D25" si="3">D9+H10</f>
        <v>39710</v>
      </c>
      <c r="E10" s="342">
        <v>39630</v>
      </c>
      <c r="F10" s="342">
        <v>33490</v>
      </c>
      <c r="G10" s="343">
        <v>2.8</v>
      </c>
      <c r="H10" s="305">
        <f t="shared" si="1"/>
        <v>940</v>
      </c>
      <c r="I10" s="344">
        <f t="shared" si="2"/>
        <v>937.72</v>
      </c>
      <c r="J10" s="345"/>
      <c r="K10" s="507" t="s">
        <v>126</v>
      </c>
      <c r="L10" s="507" t="s">
        <v>121</v>
      </c>
      <c r="M10" s="307">
        <v>48420</v>
      </c>
      <c r="N10" s="308" t="s">
        <v>122</v>
      </c>
      <c r="O10" s="309">
        <v>63960</v>
      </c>
      <c r="P10" s="310" t="s">
        <v>123</v>
      </c>
      <c r="Q10" s="311">
        <v>56190</v>
      </c>
      <c r="R10" s="1"/>
      <c r="S10" s="1"/>
      <c r="T10" s="1"/>
    </row>
    <row r="11" spans="1:20" ht="21" customHeight="1" x14ac:dyDescent="0.2">
      <c r="A11" s="300">
        <v>42826</v>
      </c>
      <c r="B11" s="525">
        <f t="shared" si="0"/>
        <v>39630</v>
      </c>
      <c r="C11" s="526"/>
      <c r="D11" s="132">
        <f t="shared" si="3"/>
        <v>40650</v>
      </c>
      <c r="E11" s="342">
        <v>39630</v>
      </c>
      <c r="F11" s="342">
        <v>33490</v>
      </c>
      <c r="G11" s="343">
        <v>2.8</v>
      </c>
      <c r="H11" s="305">
        <f t="shared" si="1"/>
        <v>940</v>
      </c>
      <c r="I11" s="344">
        <f t="shared" si="2"/>
        <v>937.72</v>
      </c>
      <c r="J11" s="345"/>
      <c r="K11" s="507"/>
      <c r="L11" s="507"/>
      <c r="M11" s="312">
        <v>24400</v>
      </c>
      <c r="N11" s="313" t="s">
        <v>122</v>
      </c>
      <c r="O11" s="314">
        <v>48410</v>
      </c>
      <c r="P11" s="315" t="s">
        <v>124</v>
      </c>
      <c r="Q11" s="316">
        <v>48190</v>
      </c>
      <c r="R11" s="1"/>
      <c r="S11" s="1"/>
      <c r="T11" s="1"/>
    </row>
    <row r="12" spans="1:20" ht="21" customHeight="1" x14ac:dyDescent="0.2">
      <c r="A12" s="300">
        <v>43009</v>
      </c>
      <c r="B12" s="525">
        <f t="shared" si="0"/>
        <v>39630</v>
      </c>
      <c r="C12" s="526"/>
      <c r="D12" s="132">
        <f t="shared" si="3"/>
        <v>41590</v>
      </c>
      <c r="E12" s="342">
        <v>39630</v>
      </c>
      <c r="F12" s="342">
        <v>33490</v>
      </c>
      <c r="G12" s="343">
        <v>2.8</v>
      </c>
      <c r="H12" s="305">
        <f t="shared" si="1"/>
        <v>940</v>
      </c>
      <c r="I12" s="344">
        <f t="shared" si="2"/>
        <v>937.72</v>
      </c>
      <c r="J12" s="345"/>
      <c r="K12" s="507"/>
      <c r="L12" s="507" t="s">
        <v>125</v>
      </c>
      <c r="M12" s="307">
        <v>40390</v>
      </c>
      <c r="N12" s="308" t="s">
        <v>122</v>
      </c>
      <c r="O12" s="309">
        <v>54090</v>
      </c>
      <c r="P12" s="310" t="s">
        <v>123</v>
      </c>
      <c r="Q12" s="311">
        <v>47240</v>
      </c>
      <c r="R12" s="1"/>
      <c r="S12" s="1"/>
      <c r="T12" s="1"/>
    </row>
    <row r="13" spans="1:20" ht="21" customHeight="1" x14ac:dyDescent="0.2">
      <c r="A13" s="300">
        <v>43191</v>
      </c>
      <c r="B13" s="525">
        <f t="shared" si="0"/>
        <v>39630</v>
      </c>
      <c r="C13" s="526"/>
      <c r="D13" s="132">
        <f t="shared" si="3"/>
        <v>42530</v>
      </c>
      <c r="E13" s="342">
        <v>39630</v>
      </c>
      <c r="F13" s="342">
        <v>33490</v>
      </c>
      <c r="G13" s="343">
        <v>2.8</v>
      </c>
      <c r="H13" s="305">
        <f t="shared" si="1"/>
        <v>940</v>
      </c>
      <c r="I13" s="344">
        <f t="shared" si="2"/>
        <v>937.72</v>
      </c>
      <c r="J13" s="345"/>
      <c r="K13" s="507"/>
      <c r="L13" s="507"/>
      <c r="M13" s="312">
        <v>19860</v>
      </c>
      <c r="N13" s="313" t="s">
        <v>122</v>
      </c>
      <c r="O13" s="314">
        <v>40380</v>
      </c>
      <c r="P13" s="315" t="s">
        <v>124</v>
      </c>
      <c r="Q13" s="316">
        <v>33520</v>
      </c>
      <c r="R13" s="1"/>
      <c r="S13" s="1"/>
      <c r="T13" s="1"/>
    </row>
    <row r="14" spans="1:20" ht="21" customHeight="1" x14ac:dyDescent="0.2">
      <c r="A14" s="300">
        <v>43374</v>
      </c>
      <c r="B14" s="525">
        <f t="shared" si="0"/>
        <v>39630</v>
      </c>
      <c r="C14" s="526"/>
      <c r="D14" s="132">
        <f t="shared" si="3"/>
        <v>43470</v>
      </c>
      <c r="E14" s="342">
        <v>39630</v>
      </c>
      <c r="F14" s="342">
        <v>33490</v>
      </c>
      <c r="G14" s="343">
        <v>2.8</v>
      </c>
      <c r="H14" s="305">
        <f t="shared" si="1"/>
        <v>940</v>
      </c>
      <c r="I14" s="344">
        <f t="shared" si="2"/>
        <v>937.72</v>
      </c>
      <c r="J14" s="345"/>
      <c r="K14" s="507" t="s">
        <v>127</v>
      </c>
      <c r="L14" s="507" t="s">
        <v>128</v>
      </c>
      <c r="M14" s="307">
        <v>56820</v>
      </c>
      <c r="N14" s="308" t="s">
        <v>122</v>
      </c>
      <c r="O14" s="309">
        <v>69810</v>
      </c>
      <c r="P14" s="310" t="s">
        <v>129</v>
      </c>
      <c r="Q14" s="311">
        <v>63310</v>
      </c>
      <c r="R14" s="1"/>
      <c r="S14" s="1"/>
      <c r="T14" s="1"/>
    </row>
    <row r="15" spans="1:20" ht="21" customHeight="1" x14ac:dyDescent="0.2">
      <c r="A15" s="300">
        <v>43556</v>
      </c>
      <c r="B15" s="525">
        <f t="shared" si="0"/>
        <v>39630</v>
      </c>
      <c r="C15" s="526"/>
      <c r="D15" s="132">
        <f t="shared" si="3"/>
        <v>44410</v>
      </c>
      <c r="E15" s="342">
        <v>39630</v>
      </c>
      <c r="F15" s="342">
        <v>33490</v>
      </c>
      <c r="G15" s="343">
        <v>2.8</v>
      </c>
      <c r="H15" s="305">
        <f t="shared" si="1"/>
        <v>940</v>
      </c>
      <c r="I15" s="344">
        <f t="shared" si="2"/>
        <v>937.72</v>
      </c>
      <c r="J15" s="345"/>
      <c r="K15" s="507"/>
      <c r="L15" s="507"/>
      <c r="M15" s="317">
        <v>29980</v>
      </c>
      <c r="N15" s="318" t="s">
        <v>122</v>
      </c>
      <c r="O15" s="319">
        <v>56810</v>
      </c>
      <c r="P15" s="320" t="s">
        <v>130</v>
      </c>
      <c r="Q15" s="321">
        <v>56020</v>
      </c>
      <c r="R15" s="1"/>
      <c r="S15" s="1"/>
      <c r="T15" s="1"/>
    </row>
    <row r="16" spans="1:20" ht="21" customHeight="1" x14ac:dyDescent="0.2">
      <c r="A16" s="300">
        <v>43739</v>
      </c>
      <c r="B16" s="525">
        <f t="shared" si="0"/>
        <v>39630</v>
      </c>
      <c r="C16" s="526"/>
      <c r="D16" s="132">
        <f t="shared" si="3"/>
        <v>45350</v>
      </c>
      <c r="E16" s="342">
        <v>39630</v>
      </c>
      <c r="F16" s="342">
        <v>33490</v>
      </c>
      <c r="G16" s="343">
        <v>2.8</v>
      </c>
      <c r="H16" s="305">
        <f t="shared" si="1"/>
        <v>940</v>
      </c>
      <c r="I16" s="344">
        <f t="shared" si="2"/>
        <v>937.72</v>
      </c>
      <c r="J16" s="345"/>
      <c r="K16" s="507"/>
      <c r="L16" s="507"/>
      <c r="M16" s="322">
        <v>56030</v>
      </c>
      <c r="N16" s="323" t="s">
        <v>122</v>
      </c>
      <c r="O16" s="324">
        <v>67560</v>
      </c>
      <c r="P16" s="325" t="s">
        <v>131</v>
      </c>
      <c r="Q16" s="326">
        <v>61630</v>
      </c>
      <c r="R16" s="1"/>
      <c r="S16" s="1"/>
      <c r="T16" s="1"/>
    </row>
    <row r="17" spans="1:20" ht="21" customHeight="1" x14ac:dyDescent="0.2">
      <c r="A17" s="300">
        <v>43922</v>
      </c>
      <c r="B17" s="525">
        <f t="shared" si="0"/>
        <v>39630</v>
      </c>
      <c r="C17" s="526"/>
      <c r="D17" s="132">
        <f t="shared" si="3"/>
        <v>46290</v>
      </c>
      <c r="E17" s="342">
        <v>39630</v>
      </c>
      <c r="F17" s="342">
        <v>33490</v>
      </c>
      <c r="G17" s="343">
        <v>2.8</v>
      </c>
      <c r="H17" s="305">
        <f t="shared" si="1"/>
        <v>940</v>
      </c>
      <c r="I17" s="344">
        <f t="shared" si="2"/>
        <v>937.72</v>
      </c>
      <c r="J17" s="345"/>
      <c r="K17" s="507"/>
      <c r="L17" s="507"/>
      <c r="M17" s="312">
        <v>29980</v>
      </c>
      <c r="N17" s="313" t="s">
        <v>122</v>
      </c>
      <c r="O17" s="314">
        <v>56020</v>
      </c>
      <c r="P17" s="315" t="s">
        <v>132</v>
      </c>
      <c r="Q17" s="316">
        <v>56020</v>
      </c>
      <c r="R17" s="1"/>
      <c r="S17" s="1"/>
      <c r="T17" s="1"/>
    </row>
    <row r="18" spans="1:20" ht="21" customHeight="1" x14ac:dyDescent="0.2">
      <c r="A18" s="300">
        <v>44105</v>
      </c>
      <c r="B18" s="525">
        <f t="shared" si="0"/>
        <v>39630</v>
      </c>
      <c r="C18" s="526"/>
      <c r="D18" s="132">
        <f t="shared" si="3"/>
        <v>47230</v>
      </c>
      <c r="E18" s="342">
        <v>39630</v>
      </c>
      <c r="F18" s="342">
        <v>33490</v>
      </c>
      <c r="G18" s="343">
        <v>2.8</v>
      </c>
      <c r="H18" s="305">
        <f t="shared" si="1"/>
        <v>940</v>
      </c>
      <c r="I18" s="344">
        <f t="shared" si="2"/>
        <v>937.72</v>
      </c>
      <c r="J18" s="345"/>
      <c r="K18" s="507"/>
      <c r="L18" s="507" t="s">
        <v>133</v>
      </c>
      <c r="M18" s="307">
        <v>47090</v>
      </c>
      <c r="N18" s="308" t="s">
        <v>122</v>
      </c>
      <c r="O18" s="309">
        <v>62760</v>
      </c>
      <c r="P18" s="310" t="s">
        <v>123</v>
      </c>
      <c r="Q18" s="311">
        <v>54920</v>
      </c>
      <c r="R18" s="1"/>
      <c r="S18" s="1"/>
      <c r="T18" s="1"/>
    </row>
    <row r="19" spans="1:20" ht="21" customHeight="1" x14ac:dyDescent="0.2">
      <c r="A19" s="300">
        <v>44287</v>
      </c>
      <c r="B19" s="525">
        <f t="shared" si="0"/>
        <v>39630</v>
      </c>
      <c r="C19" s="526"/>
      <c r="D19" s="132">
        <f t="shared" si="3"/>
        <v>48170</v>
      </c>
      <c r="E19" s="342">
        <v>39630</v>
      </c>
      <c r="F19" s="342">
        <v>33490</v>
      </c>
      <c r="G19" s="343">
        <v>2.8</v>
      </c>
      <c r="H19" s="305">
        <f t="shared" si="1"/>
        <v>940</v>
      </c>
      <c r="I19" s="344">
        <f t="shared" si="2"/>
        <v>937.72</v>
      </c>
      <c r="J19" s="345"/>
      <c r="K19" s="507"/>
      <c r="L19" s="507"/>
      <c r="M19" s="312">
        <v>24400</v>
      </c>
      <c r="N19" s="313" t="s">
        <v>122</v>
      </c>
      <c r="O19" s="314">
        <v>47080</v>
      </c>
      <c r="P19" s="315" t="s">
        <v>124</v>
      </c>
      <c r="Q19" s="316">
        <v>46260</v>
      </c>
      <c r="R19" s="1"/>
      <c r="S19" s="1"/>
      <c r="T19" s="1"/>
    </row>
    <row r="20" spans="1:20" ht="21" customHeight="1" x14ac:dyDescent="0.2">
      <c r="A20" s="300">
        <v>44470</v>
      </c>
      <c r="B20" s="525">
        <f t="shared" si="0"/>
        <v>39630</v>
      </c>
      <c r="C20" s="526"/>
      <c r="D20" s="132">
        <f t="shared" si="3"/>
        <v>49110</v>
      </c>
      <c r="E20" s="342">
        <v>39630</v>
      </c>
      <c r="F20" s="342">
        <v>33490</v>
      </c>
      <c r="G20" s="343">
        <v>2.8</v>
      </c>
      <c r="H20" s="305">
        <f t="shared" si="1"/>
        <v>940</v>
      </c>
      <c r="I20" s="344">
        <f t="shared" si="2"/>
        <v>937.72</v>
      </c>
      <c r="J20" s="345"/>
      <c r="K20" s="507"/>
      <c r="L20" s="510" t="s">
        <v>134</v>
      </c>
      <c r="M20" s="307">
        <v>37620</v>
      </c>
      <c r="N20" s="308" t="s">
        <v>122</v>
      </c>
      <c r="O20" s="309">
        <v>53080</v>
      </c>
      <c r="P20" s="310" t="s">
        <v>123</v>
      </c>
      <c r="Q20" s="311">
        <v>45350</v>
      </c>
      <c r="R20" s="1"/>
      <c r="S20" s="1"/>
      <c r="T20" s="1"/>
    </row>
    <row r="21" spans="1:20" ht="21" customHeight="1" x14ac:dyDescent="0.2">
      <c r="A21" s="300">
        <v>44652</v>
      </c>
      <c r="B21" s="525">
        <f t="shared" si="0"/>
        <v>39630</v>
      </c>
      <c r="C21" s="526"/>
      <c r="D21" s="132">
        <f t="shared" si="3"/>
        <v>50050</v>
      </c>
      <c r="E21" s="342">
        <v>39630</v>
      </c>
      <c r="F21" s="342">
        <v>33490</v>
      </c>
      <c r="G21" s="343">
        <v>2.8</v>
      </c>
      <c r="H21" s="305">
        <f t="shared" si="1"/>
        <v>940</v>
      </c>
      <c r="I21" s="344">
        <f t="shared" si="2"/>
        <v>937.72</v>
      </c>
      <c r="J21" s="345"/>
      <c r="K21" s="507"/>
      <c r="L21" s="510"/>
      <c r="M21" s="312">
        <v>19860</v>
      </c>
      <c r="N21" s="313" t="s">
        <v>122</v>
      </c>
      <c r="O21" s="314">
        <v>37610</v>
      </c>
      <c r="P21" s="315" t="s">
        <v>124</v>
      </c>
      <c r="Q21" s="316">
        <v>33510</v>
      </c>
      <c r="R21" s="1"/>
      <c r="S21" s="1"/>
      <c r="T21" s="1"/>
    </row>
    <row r="22" spans="1:20" ht="21" customHeight="1" x14ac:dyDescent="0.2">
      <c r="A22" s="300">
        <v>44835</v>
      </c>
      <c r="B22" s="525">
        <f t="shared" si="0"/>
        <v>39630</v>
      </c>
      <c r="C22" s="526"/>
      <c r="D22" s="132">
        <f t="shared" si="3"/>
        <v>50990</v>
      </c>
      <c r="E22" s="342">
        <v>39630</v>
      </c>
      <c r="F22" s="342">
        <v>33490</v>
      </c>
      <c r="G22" s="343">
        <v>2.8</v>
      </c>
      <c r="H22" s="305">
        <f t="shared" si="1"/>
        <v>940</v>
      </c>
      <c r="I22" s="344">
        <f t="shared" si="2"/>
        <v>937.72</v>
      </c>
      <c r="J22" s="345"/>
      <c r="K22" s="507"/>
      <c r="L22" s="507" t="s">
        <v>135</v>
      </c>
      <c r="M22" s="307">
        <v>27350</v>
      </c>
      <c r="N22" s="308" t="s">
        <v>122</v>
      </c>
      <c r="O22" s="309">
        <v>39630</v>
      </c>
      <c r="P22" s="310" t="s">
        <v>123</v>
      </c>
      <c r="Q22" s="311">
        <v>33490</v>
      </c>
      <c r="R22" s="1"/>
      <c r="S22" s="1"/>
      <c r="T22" s="1"/>
    </row>
    <row r="23" spans="1:20" ht="21" customHeight="1" x14ac:dyDescent="0.2">
      <c r="A23" s="300">
        <v>45017</v>
      </c>
      <c r="B23" s="525">
        <f t="shared" si="0"/>
        <v>39630</v>
      </c>
      <c r="C23" s="526"/>
      <c r="D23" s="132">
        <f t="shared" si="3"/>
        <v>51930</v>
      </c>
      <c r="E23" s="342">
        <v>39630</v>
      </c>
      <c r="F23" s="342">
        <v>33490</v>
      </c>
      <c r="G23" s="343">
        <v>2.8</v>
      </c>
      <c r="H23" s="305">
        <f t="shared" si="1"/>
        <v>940</v>
      </c>
      <c r="I23" s="344">
        <f t="shared" si="2"/>
        <v>937.72</v>
      </c>
      <c r="J23" s="345"/>
      <c r="K23" s="507"/>
      <c r="L23" s="507"/>
      <c r="M23" s="312">
        <v>13160</v>
      </c>
      <c r="N23" s="313" t="s">
        <v>122</v>
      </c>
      <c r="O23" s="314">
        <v>27340</v>
      </c>
      <c r="P23" s="315" t="s">
        <v>124</v>
      </c>
      <c r="Q23" s="316">
        <v>22220</v>
      </c>
      <c r="R23" s="1"/>
      <c r="S23" s="1"/>
      <c r="T23" s="1"/>
    </row>
    <row r="24" spans="1:20" ht="21" customHeight="1" x14ac:dyDescent="0.2">
      <c r="A24" s="300">
        <v>45200</v>
      </c>
      <c r="B24" s="525">
        <f t="shared" si="0"/>
        <v>39630</v>
      </c>
      <c r="C24" s="526"/>
      <c r="D24" s="132">
        <f t="shared" si="3"/>
        <v>52870</v>
      </c>
      <c r="E24" s="342">
        <v>39630</v>
      </c>
      <c r="F24" s="342">
        <v>33490</v>
      </c>
      <c r="G24" s="343">
        <v>2.8</v>
      </c>
      <c r="H24" s="305">
        <f t="shared" si="1"/>
        <v>940</v>
      </c>
      <c r="I24" s="344">
        <f t="shared" si="2"/>
        <v>937.72</v>
      </c>
      <c r="J24" s="345"/>
      <c r="K24" s="507"/>
      <c r="L24" s="507" t="s">
        <v>136</v>
      </c>
      <c r="M24" s="307">
        <v>19120</v>
      </c>
      <c r="N24" s="308" t="s">
        <v>122</v>
      </c>
      <c r="O24" s="309">
        <v>24450</v>
      </c>
      <c r="P24" s="310" t="s">
        <v>123</v>
      </c>
      <c r="Q24" s="311">
        <v>21780</v>
      </c>
      <c r="R24" s="1"/>
      <c r="S24" s="1"/>
      <c r="T24" s="1"/>
    </row>
    <row r="25" spans="1:20" ht="21" customHeight="1" x14ac:dyDescent="0.2">
      <c r="A25" s="300">
        <v>45383</v>
      </c>
      <c r="B25" s="525">
        <f t="shared" si="0"/>
        <v>39630</v>
      </c>
      <c r="C25" s="526"/>
      <c r="D25" s="132">
        <f t="shared" si="3"/>
        <v>53810</v>
      </c>
      <c r="E25" s="342">
        <v>39630</v>
      </c>
      <c r="F25" s="342">
        <v>33490</v>
      </c>
      <c r="G25" s="343">
        <v>2.8</v>
      </c>
      <c r="H25" s="305">
        <f t="shared" si="1"/>
        <v>940</v>
      </c>
      <c r="I25" s="344">
        <f t="shared" si="2"/>
        <v>937.72</v>
      </c>
      <c r="J25" s="345"/>
      <c r="K25" s="507"/>
      <c r="L25" s="507"/>
      <c r="M25" s="312">
        <v>7140</v>
      </c>
      <c r="N25" s="313" t="s">
        <v>122</v>
      </c>
      <c r="O25" s="314">
        <v>19110</v>
      </c>
      <c r="P25" s="315" t="s">
        <v>124</v>
      </c>
      <c r="Q25" s="316">
        <v>16440</v>
      </c>
      <c r="R25" s="1"/>
      <c r="S25" s="1"/>
      <c r="T25" s="1"/>
    </row>
    <row r="26" spans="1:20" ht="21" customHeight="1" x14ac:dyDescent="0.2">
      <c r="A26" s="300">
        <v>45200</v>
      </c>
      <c r="B26" s="525">
        <f t="shared" ref="B26:B31" si="4">IF(D26&lt;E26,D26,E26)</f>
        <v>39630</v>
      </c>
      <c r="C26" s="526"/>
      <c r="D26" s="132">
        <f t="shared" ref="D26:D31" si="5">D25+H26</f>
        <v>54750</v>
      </c>
      <c r="E26" s="342">
        <v>39630</v>
      </c>
      <c r="F26" s="342">
        <v>33490</v>
      </c>
      <c r="G26" s="343">
        <v>2.8</v>
      </c>
      <c r="H26" s="305">
        <f t="shared" si="1"/>
        <v>940</v>
      </c>
      <c r="I26" s="344">
        <f t="shared" si="2"/>
        <v>937.72</v>
      </c>
      <c r="K26" s="507" t="s">
        <v>138</v>
      </c>
      <c r="L26" s="507" t="s">
        <v>139</v>
      </c>
      <c r="M26" s="307">
        <v>55500</v>
      </c>
      <c r="N26" s="308" t="s">
        <v>122</v>
      </c>
      <c r="O26" s="309">
        <v>62760</v>
      </c>
      <c r="P26" s="310" t="s">
        <v>123</v>
      </c>
      <c r="Q26" s="311">
        <v>59130</v>
      </c>
      <c r="R26" s="1"/>
      <c r="S26" s="1"/>
      <c r="T26" s="1"/>
    </row>
    <row r="27" spans="1:20" ht="21" customHeight="1" x14ac:dyDescent="0.2">
      <c r="A27" s="300">
        <v>45383</v>
      </c>
      <c r="B27" s="525">
        <f t="shared" si="4"/>
        <v>39630</v>
      </c>
      <c r="C27" s="526"/>
      <c r="D27" s="132">
        <f t="shared" si="5"/>
        <v>55690</v>
      </c>
      <c r="E27" s="342">
        <v>39630</v>
      </c>
      <c r="F27" s="342">
        <v>33490</v>
      </c>
      <c r="G27" s="343">
        <v>2.8</v>
      </c>
      <c r="H27" s="305">
        <f t="shared" si="1"/>
        <v>940</v>
      </c>
      <c r="I27" s="344">
        <f t="shared" si="2"/>
        <v>937.72</v>
      </c>
      <c r="K27" s="507"/>
      <c r="L27" s="507"/>
      <c r="M27" s="312">
        <v>48220</v>
      </c>
      <c r="N27" s="313" t="s">
        <v>122</v>
      </c>
      <c r="O27" s="314">
        <v>55490</v>
      </c>
      <c r="P27" s="315" t="s">
        <v>124</v>
      </c>
      <c r="Q27" s="316">
        <v>51860</v>
      </c>
      <c r="R27" s="1"/>
      <c r="S27" s="1"/>
      <c r="T27" s="1"/>
    </row>
    <row r="28" spans="1:20" ht="21" customHeight="1" x14ac:dyDescent="0.2">
      <c r="A28" s="300">
        <v>45566</v>
      </c>
      <c r="B28" s="525">
        <f t="shared" si="4"/>
        <v>39630</v>
      </c>
      <c r="C28" s="526"/>
      <c r="D28" s="132">
        <f t="shared" si="5"/>
        <v>56630</v>
      </c>
      <c r="E28" s="342">
        <v>39630</v>
      </c>
      <c r="F28" s="342">
        <v>33490</v>
      </c>
      <c r="G28" s="343">
        <v>2.8</v>
      </c>
      <c r="H28" s="305">
        <f t="shared" si="1"/>
        <v>940</v>
      </c>
      <c r="I28" s="344">
        <f t="shared" si="2"/>
        <v>937.72</v>
      </c>
      <c r="K28" s="507"/>
      <c r="L28" s="507" t="s">
        <v>142</v>
      </c>
      <c r="M28" s="307">
        <v>32630</v>
      </c>
      <c r="N28" s="308" t="s">
        <v>122</v>
      </c>
      <c r="O28" s="309">
        <v>49830</v>
      </c>
      <c r="P28" s="310" t="s">
        <v>129</v>
      </c>
      <c r="Q28" s="311">
        <v>41230</v>
      </c>
      <c r="R28" s="1"/>
      <c r="S28" s="1"/>
      <c r="T28" s="1"/>
    </row>
    <row r="29" spans="1:20" ht="21" customHeight="1" x14ac:dyDescent="0.2">
      <c r="A29" s="300">
        <v>45748</v>
      </c>
      <c r="B29" s="525">
        <f t="shared" si="4"/>
        <v>39630</v>
      </c>
      <c r="C29" s="526"/>
      <c r="D29" s="132">
        <f t="shared" si="5"/>
        <v>57570</v>
      </c>
      <c r="E29" s="342">
        <v>39630</v>
      </c>
      <c r="F29" s="342">
        <v>33490</v>
      </c>
      <c r="G29" s="343">
        <v>2.8</v>
      </c>
      <c r="H29" s="305">
        <f t="shared" si="1"/>
        <v>940</v>
      </c>
      <c r="I29" s="344">
        <f t="shared" si="2"/>
        <v>937.72</v>
      </c>
      <c r="K29" s="507"/>
      <c r="L29" s="507"/>
      <c r="M29" s="322">
        <v>15410</v>
      </c>
      <c r="N29" s="323" t="s">
        <v>122</v>
      </c>
      <c r="O29" s="324">
        <v>32620</v>
      </c>
      <c r="P29" s="325" t="s">
        <v>130</v>
      </c>
      <c r="Q29" s="326">
        <v>29550</v>
      </c>
      <c r="R29" s="1"/>
      <c r="S29" s="1"/>
      <c r="T29" s="1"/>
    </row>
    <row r="30" spans="1:20" ht="21" customHeight="1" x14ac:dyDescent="0.2">
      <c r="A30" s="300">
        <v>45931</v>
      </c>
      <c r="B30" s="525">
        <f t="shared" si="4"/>
        <v>0</v>
      </c>
      <c r="C30" s="526"/>
      <c r="D30" s="132">
        <f t="shared" si="5"/>
        <v>57570</v>
      </c>
      <c r="E30" s="342"/>
      <c r="F30" s="342"/>
      <c r="G30" s="343"/>
      <c r="H30" s="305">
        <f t="shared" si="1"/>
        <v>0</v>
      </c>
      <c r="I30" s="344">
        <f t="shared" si="2"/>
        <v>0</v>
      </c>
      <c r="K30" s="507"/>
      <c r="L30" s="507"/>
      <c r="M30" s="322">
        <v>29560</v>
      </c>
      <c r="N30" s="323" t="s">
        <v>122</v>
      </c>
      <c r="O30" s="324">
        <v>37830</v>
      </c>
      <c r="P30" s="325" t="s">
        <v>131</v>
      </c>
      <c r="Q30" s="326">
        <v>32230</v>
      </c>
      <c r="R30" s="1"/>
      <c r="S30" s="1"/>
      <c r="T30" s="1"/>
    </row>
    <row r="31" spans="1:20" ht="21" customHeight="1" x14ac:dyDescent="0.2">
      <c r="A31" s="300">
        <v>46113</v>
      </c>
      <c r="B31" s="525">
        <f t="shared" si="4"/>
        <v>0</v>
      </c>
      <c r="C31" s="526"/>
      <c r="D31" s="132">
        <f t="shared" si="5"/>
        <v>57570</v>
      </c>
      <c r="E31" s="342"/>
      <c r="F31" s="342"/>
      <c r="G31" s="343"/>
      <c r="H31" s="305">
        <f t="shared" si="1"/>
        <v>0</v>
      </c>
      <c r="I31" s="344">
        <f t="shared" si="2"/>
        <v>0</v>
      </c>
      <c r="K31" s="507"/>
      <c r="L31" s="507"/>
      <c r="M31" s="331">
        <v>15410</v>
      </c>
      <c r="N31" s="332" t="s">
        <v>122</v>
      </c>
      <c r="O31" s="333">
        <v>29550</v>
      </c>
      <c r="P31" s="334" t="s">
        <v>132</v>
      </c>
      <c r="Q31" s="335">
        <v>29550</v>
      </c>
      <c r="R31" s="1"/>
      <c r="S31" s="1"/>
      <c r="T31" s="1"/>
    </row>
    <row r="32" spans="1:20" ht="21" customHeight="1" x14ac:dyDescent="0.2">
      <c r="A32" s="300">
        <v>46296</v>
      </c>
      <c r="B32" s="525">
        <f t="shared" ref="B32:B34" si="6">IF(D32&lt;E32,D32,E32)</f>
        <v>0</v>
      </c>
      <c r="C32" s="526"/>
      <c r="D32" s="132">
        <f t="shared" ref="D32" si="7">D31+H32</f>
        <v>57570</v>
      </c>
      <c r="E32" s="342"/>
      <c r="F32" s="342"/>
      <c r="G32" s="343"/>
      <c r="H32" s="305">
        <f t="shared" si="1"/>
        <v>0</v>
      </c>
      <c r="I32" s="344">
        <f t="shared" si="2"/>
        <v>0</v>
      </c>
      <c r="K32" s="507"/>
      <c r="L32" s="508" t="s">
        <v>146</v>
      </c>
      <c r="M32" s="307">
        <v>22720</v>
      </c>
      <c r="N32" s="308" t="s">
        <v>122</v>
      </c>
      <c r="O32" s="309">
        <v>35220</v>
      </c>
      <c r="P32" s="310" t="s">
        <v>123</v>
      </c>
      <c r="Q32" s="311">
        <v>28970</v>
      </c>
      <c r="R32" s="1"/>
      <c r="S32" s="1"/>
      <c r="T32" s="1"/>
    </row>
    <row r="33" spans="1:20" ht="21" customHeight="1" x14ac:dyDescent="0.2">
      <c r="A33" s="300">
        <v>46478</v>
      </c>
      <c r="B33" s="525">
        <f t="shared" si="6"/>
        <v>0</v>
      </c>
      <c r="C33" s="526"/>
      <c r="D33" s="132">
        <f>D32+H33</f>
        <v>57570</v>
      </c>
      <c r="E33" s="342"/>
      <c r="F33" s="342"/>
      <c r="G33" s="343"/>
      <c r="H33" s="305">
        <f>CEILING(I33,10)</f>
        <v>0</v>
      </c>
      <c r="I33" s="344">
        <f t="shared" si="2"/>
        <v>0</v>
      </c>
      <c r="K33" s="507"/>
      <c r="L33" s="509"/>
      <c r="M33" s="312">
        <v>10190</v>
      </c>
      <c r="N33" s="313" t="s">
        <v>122</v>
      </c>
      <c r="O33" s="314">
        <v>22710</v>
      </c>
      <c r="P33" s="315" t="s">
        <v>124</v>
      </c>
      <c r="Q33" s="316">
        <v>16450</v>
      </c>
      <c r="R33" s="1"/>
      <c r="S33" s="1"/>
      <c r="T33" s="1"/>
    </row>
    <row r="34" spans="1:20" ht="21" customHeight="1" x14ac:dyDescent="0.2">
      <c r="A34" s="300">
        <v>46661</v>
      </c>
      <c r="B34" s="525">
        <f t="shared" si="6"/>
        <v>0</v>
      </c>
      <c r="C34" s="526"/>
      <c r="D34" s="132">
        <f>D33+H34</f>
        <v>57570</v>
      </c>
      <c r="E34" s="342"/>
      <c r="F34" s="342"/>
      <c r="G34" s="343"/>
      <c r="H34" s="305">
        <f>CEILING(I34,10)</f>
        <v>0</v>
      </c>
      <c r="I34" s="344">
        <f t="shared" si="2"/>
        <v>0</v>
      </c>
      <c r="K34" s="507"/>
      <c r="L34" s="507" t="s">
        <v>149</v>
      </c>
      <c r="M34" s="307">
        <v>13720</v>
      </c>
      <c r="N34" s="308" t="s">
        <v>122</v>
      </c>
      <c r="O34" s="309">
        <v>19100</v>
      </c>
      <c r="P34" s="310" t="s">
        <v>123</v>
      </c>
      <c r="Q34" s="311">
        <v>16410</v>
      </c>
      <c r="R34" s="1"/>
      <c r="S34" s="1"/>
      <c r="T34" s="1"/>
    </row>
    <row r="35" spans="1:20" ht="21" customHeight="1" x14ac:dyDescent="0.2">
      <c r="A35" s="300">
        <v>46844</v>
      </c>
      <c r="B35" s="525">
        <f t="shared" ref="B35:B48" si="8">IF(D35&lt;E35,D35,E35)</f>
        <v>0</v>
      </c>
      <c r="C35" s="526"/>
      <c r="D35" s="132">
        <f>D34+H35</f>
        <v>57570</v>
      </c>
      <c r="E35" s="342"/>
      <c r="F35" s="342"/>
      <c r="G35" s="343"/>
      <c r="H35" s="305">
        <f>CEILING(I35,10)</f>
        <v>0</v>
      </c>
      <c r="I35" s="344">
        <f t="shared" si="2"/>
        <v>0</v>
      </c>
      <c r="K35" s="507"/>
      <c r="L35" s="507"/>
      <c r="M35" s="312">
        <v>4870</v>
      </c>
      <c r="N35" s="313" t="s">
        <v>122</v>
      </c>
      <c r="O35" s="314">
        <v>13710</v>
      </c>
      <c r="P35" s="315" t="s">
        <v>124</v>
      </c>
      <c r="Q35" s="316">
        <v>11020</v>
      </c>
      <c r="R35" s="1"/>
      <c r="S35" s="1"/>
      <c r="T35" s="1"/>
    </row>
    <row r="36" spans="1:20" ht="18" customHeight="1" x14ac:dyDescent="0.2">
      <c r="A36" s="300">
        <v>47027</v>
      </c>
      <c r="B36" s="525">
        <f t="shared" si="8"/>
        <v>0</v>
      </c>
      <c r="C36" s="526"/>
      <c r="D36" s="132">
        <f>D35+H36</f>
        <v>57570</v>
      </c>
      <c r="E36" s="342"/>
      <c r="F36" s="342"/>
      <c r="G36" s="343"/>
      <c r="H36" s="305">
        <f t="shared" ref="H36:H48" si="9">CEILING(I36,10)</f>
        <v>0</v>
      </c>
      <c r="I36" s="344">
        <f t="shared" si="2"/>
        <v>0</v>
      </c>
    </row>
    <row r="37" spans="1:20" ht="18" customHeight="1" x14ac:dyDescent="0.2">
      <c r="A37" s="300">
        <v>47209</v>
      </c>
      <c r="B37" s="525">
        <f t="shared" si="8"/>
        <v>0</v>
      </c>
      <c r="C37" s="526"/>
      <c r="D37" s="132">
        <f t="shared" ref="D37:D48" si="10">D36+H37</f>
        <v>57570</v>
      </c>
      <c r="E37" s="342"/>
      <c r="F37" s="342"/>
      <c r="G37" s="343"/>
      <c r="H37" s="305">
        <f t="shared" si="9"/>
        <v>0</v>
      </c>
      <c r="I37" s="344">
        <f t="shared" si="2"/>
        <v>0</v>
      </c>
    </row>
    <row r="38" spans="1:20" ht="18" customHeight="1" x14ac:dyDescent="0.2">
      <c r="A38" s="300">
        <v>47392</v>
      </c>
      <c r="B38" s="525">
        <f t="shared" si="8"/>
        <v>0</v>
      </c>
      <c r="C38" s="526"/>
      <c r="D38" s="132">
        <f t="shared" si="10"/>
        <v>57570</v>
      </c>
      <c r="E38" s="342"/>
      <c r="F38" s="342"/>
      <c r="G38" s="343"/>
      <c r="H38" s="305">
        <f t="shared" si="9"/>
        <v>0</v>
      </c>
      <c r="I38" s="344">
        <f t="shared" si="2"/>
        <v>0</v>
      </c>
    </row>
    <row r="39" spans="1:20" ht="18" customHeight="1" x14ac:dyDescent="0.2">
      <c r="A39" s="300">
        <v>47574</v>
      </c>
      <c r="B39" s="525">
        <f t="shared" si="8"/>
        <v>0</v>
      </c>
      <c r="C39" s="526"/>
      <c r="D39" s="132">
        <f t="shared" si="10"/>
        <v>57570</v>
      </c>
      <c r="E39" s="342"/>
      <c r="F39" s="342"/>
      <c r="G39" s="343"/>
      <c r="H39" s="305">
        <f t="shared" si="9"/>
        <v>0</v>
      </c>
      <c r="I39" s="344">
        <f t="shared" si="2"/>
        <v>0</v>
      </c>
    </row>
    <row r="40" spans="1:20" ht="18" customHeight="1" x14ac:dyDescent="0.2">
      <c r="A40" s="300">
        <v>47757</v>
      </c>
      <c r="B40" s="525">
        <f t="shared" si="8"/>
        <v>0</v>
      </c>
      <c r="C40" s="526"/>
      <c r="D40" s="132">
        <f t="shared" si="10"/>
        <v>57570</v>
      </c>
      <c r="E40" s="342"/>
      <c r="F40" s="342"/>
      <c r="G40" s="343"/>
      <c r="H40" s="305">
        <f t="shared" si="9"/>
        <v>0</v>
      </c>
      <c r="I40" s="344">
        <f t="shared" si="2"/>
        <v>0</v>
      </c>
    </row>
    <row r="41" spans="1:20" ht="18" customHeight="1" x14ac:dyDescent="0.2">
      <c r="A41" s="300">
        <v>47939</v>
      </c>
      <c r="B41" s="525">
        <f t="shared" si="8"/>
        <v>0</v>
      </c>
      <c r="C41" s="526"/>
      <c r="D41" s="132">
        <f t="shared" si="10"/>
        <v>57570</v>
      </c>
      <c r="E41" s="342"/>
      <c r="F41" s="342"/>
      <c r="G41" s="343"/>
      <c r="H41" s="305">
        <f t="shared" si="9"/>
        <v>0</v>
      </c>
      <c r="I41" s="344">
        <f t="shared" si="2"/>
        <v>0</v>
      </c>
    </row>
    <row r="42" spans="1:20" ht="18" customHeight="1" x14ac:dyDescent="0.2">
      <c r="A42" s="300">
        <v>48122</v>
      </c>
      <c r="B42" s="525">
        <f t="shared" si="8"/>
        <v>0</v>
      </c>
      <c r="C42" s="526"/>
      <c r="D42" s="132">
        <f t="shared" si="10"/>
        <v>57570</v>
      </c>
      <c r="E42" s="342"/>
      <c r="F42" s="342"/>
      <c r="G42" s="343"/>
      <c r="H42" s="305">
        <f t="shared" si="9"/>
        <v>0</v>
      </c>
      <c r="I42" s="344">
        <f t="shared" si="2"/>
        <v>0</v>
      </c>
    </row>
    <row r="43" spans="1:20" ht="18" customHeight="1" x14ac:dyDescent="0.2">
      <c r="A43" s="300">
        <v>48305</v>
      </c>
      <c r="B43" s="525">
        <f t="shared" si="8"/>
        <v>0</v>
      </c>
      <c r="C43" s="526"/>
      <c r="D43" s="132">
        <f t="shared" si="10"/>
        <v>57570</v>
      </c>
      <c r="E43" s="342"/>
      <c r="F43" s="342"/>
      <c r="G43" s="343"/>
      <c r="H43" s="305">
        <f t="shared" si="9"/>
        <v>0</v>
      </c>
      <c r="I43" s="344">
        <f t="shared" si="2"/>
        <v>0</v>
      </c>
    </row>
    <row r="44" spans="1:20" ht="18" customHeight="1" x14ac:dyDescent="0.2">
      <c r="A44" s="300">
        <v>48488</v>
      </c>
      <c r="B44" s="525">
        <f t="shared" si="8"/>
        <v>0</v>
      </c>
      <c r="C44" s="526"/>
      <c r="D44" s="132">
        <f t="shared" si="10"/>
        <v>57570</v>
      </c>
      <c r="E44" s="342"/>
      <c r="F44" s="342"/>
      <c r="G44" s="343"/>
      <c r="H44" s="305">
        <f t="shared" si="9"/>
        <v>0</v>
      </c>
      <c r="I44" s="344">
        <f t="shared" si="2"/>
        <v>0</v>
      </c>
    </row>
    <row r="45" spans="1:20" ht="18" customHeight="1" x14ac:dyDescent="0.2">
      <c r="A45" s="300">
        <v>48670</v>
      </c>
      <c r="B45" s="525">
        <f t="shared" si="8"/>
        <v>0</v>
      </c>
      <c r="C45" s="526"/>
      <c r="D45" s="132">
        <f t="shared" si="10"/>
        <v>57570</v>
      </c>
      <c r="E45" s="342"/>
      <c r="F45" s="342"/>
      <c r="G45" s="343"/>
      <c r="H45" s="305">
        <f t="shared" si="9"/>
        <v>0</v>
      </c>
      <c r="I45" s="344">
        <f t="shared" si="2"/>
        <v>0</v>
      </c>
    </row>
    <row r="46" spans="1:20" ht="18" customHeight="1" x14ac:dyDescent="0.2">
      <c r="A46" s="300">
        <v>48853</v>
      </c>
      <c r="B46" s="525">
        <f t="shared" si="8"/>
        <v>0</v>
      </c>
      <c r="C46" s="526"/>
      <c r="D46" s="132">
        <f t="shared" si="10"/>
        <v>57570</v>
      </c>
      <c r="E46" s="342"/>
      <c r="F46" s="342"/>
      <c r="G46" s="343"/>
      <c r="H46" s="305">
        <f t="shared" si="9"/>
        <v>0</v>
      </c>
      <c r="I46" s="344">
        <f t="shared" si="2"/>
        <v>0</v>
      </c>
    </row>
    <row r="47" spans="1:20" ht="18" customHeight="1" x14ac:dyDescent="0.2">
      <c r="A47" s="300">
        <v>49035</v>
      </c>
      <c r="B47" s="525">
        <f t="shared" si="8"/>
        <v>0</v>
      </c>
      <c r="C47" s="526"/>
      <c r="D47" s="132">
        <f t="shared" si="10"/>
        <v>57570</v>
      </c>
      <c r="E47" s="342"/>
      <c r="F47" s="342"/>
      <c r="G47" s="343"/>
      <c r="H47" s="305">
        <f t="shared" si="9"/>
        <v>0</v>
      </c>
      <c r="I47" s="344">
        <f t="shared" si="2"/>
        <v>0</v>
      </c>
    </row>
    <row r="48" spans="1:20" ht="18" customHeight="1" x14ac:dyDescent="0.2">
      <c r="A48" s="300">
        <v>49218</v>
      </c>
      <c r="B48" s="525">
        <f t="shared" si="8"/>
        <v>0</v>
      </c>
      <c r="C48" s="526"/>
      <c r="D48" s="132">
        <f t="shared" si="10"/>
        <v>57570</v>
      </c>
      <c r="E48" s="342"/>
      <c r="F48" s="342"/>
      <c r="G48" s="343"/>
      <c r="H48" s="305">
        <f t="shared" si="9"/>
        <v>0</v>
      </c>
      <c r="I48" s="344">
        <f t="shared" si="2"/>
        <v>0</v>
      </c>
    </row>
    <row r="49" spans="1:9" ht="18" customHeight="1" x14ac:dyDescent="0.2">
      <c r="A49" s="300">
        <v>49400</v>
      </c>
      <c r="B49" s="525">
        <f t="shared" ref="B49:B52" si="11">IF(D49&lt;E49,D49,E49)</f>
        <v>0</v>
      </c>
      <c r="C49" s="526"/>
      <c r="D49" s="132">
        <f t="shared" ref="D49:D52" si="12">D48+H49</f>
        <v>57570</v>
      </c>
      <c r="E49" s="342"/>
      <c r="F49" s="342"/>
      <c r="G49" s="343"/>
      <c r="H49" s="305">
        <f t="shared" ref="H49:H52" si="13">CEILING(I49,10)</f>
        <v>0</v>
      </c>
      <c r="I49" s="344">
        <f t="shared" si="2"/>
        <v>0</v>
      </c>
    </row>
    <row r="50" spans="1:9" ht="18" customHeight="1" x14ac:dyDescent="0.2">
      <c r="A50" s="300">
        <v>49583</v>
      </c>
      <c r="B50" s="525">
        <f t="shared" si="11"/>
        <v>0</v>
      </c>
      <c r="C50" s="526"/>
      <c r="D50" s="132">
        <f t="shared" si="12"/>
        <v>57570</v>
      </c>
      <c r="E50" s="342"/>
      <c r="F50" s="342"/>
      <c r="G50" s="343"/>
      <c r="H50" s="305">
        <f t="shared" si="13"/>
        <v>0</v>
      </c>
      <c r="I50" s="344">
        <f t="shared" si="2"/>
        <v>0</v>
      </c>
    </row>
    <row r="51" spans="1:9" ht="18" customHeight="1" x14ac:dyDescent="0.2">
      <c r="A51" s="300">
        <v>49766</v>
      </c>
      <c r="B51" s="525">
        <f t="shared" si="11"/>
        <v>0</v>
      </c>
      <c r="C51" s="526"/>
      <c r="D51" s="132">
        <f t="shared" si="12"/>
        <v>57570</v>
      </c>
      <c r="E51" s="342"/>
      <c r="F51" s="342"/>
      <c r="G51" s="343"/>
      <c r="H51" s="305">
        <f t="shared" si="13"/>
        <v>0</v>
      </c>
      <c r="I51" s="344">
        <f t="shared" si="2"/>
        <v>0</v>
      </c>
    </row>
    <row r="52" spans="1:9" ht="18" customHeight="1" x14ac:dyDescent="0.2">
      <c r="A52" s="300">
        <v>49949</v>
      </c>
      <c r="B52" s="525">
        <f t="shared" si="11"/>
        <v>0</v>
      </c>
      <c r="C52" s="526"/>
      <c r="D52" s="132">
        <f t="shared" si="12"/>
        <v>57570</v>
      </c>
      <c r="E52" s="342"/>
      <c r="F52" s="342"/>
      <c r="G52" s="343"/>
      <c r="H52" s="305">
        <f t="shared" si="13"/>
        <v>0</v>
      </c>
      <c r="I52" s="344">
        <f t="shared" si="2"/>
        <v>0</v>
      </c>
    </row>
    <row r="53" spans="1:9" x14ac:dyDescent="0.2">
      <c r="A53" s="450"/>
    </row>
    <row r="54" spans="1:9" x14ac:dyDescent="0.2">
      <c r="A54" s="138" t="s">
        <v>137</v>
      </c>
      <c r="B54" s="1"/>
      <c r="C54" s="1"/>
      <c r="D54" s="1"/>
      <c r="E54" s="1"/>
      <c r="F54" s="1"/>
      <c r="G54" s="1"/>
      <c r="H54" s="338"/>
    </row>
    <row r="55" spans="1:9" x14ac:dyDescent="0.2">
      <c r="A55" s="91" t="s">
        <v>140</v>
      </c>
      <c r="B55" s="1"/>
      <c r="C55" s="1"/>
      <c r="D55" s="1"/>
      <c r="E55" s="1"/>
      <c r="F55" s="1"/>
      <c r="G55" s="1"/>
      <c r="H55" s="338"/>
    </row>
    <row r="56" spans="1:9" x14ac:dyDescent="0.2">
      <c r="A56" s="91" t="s">
        <v>141</v>
      </c>
      <c r="B56" s="104"/>
      <c r="C56" s="104"/>
      <c r="D56" s="104"/>
      <c r="E56" s="104"/>
      <c r="F56" s="104"/>
      <c r="G56" s="104"/>
      <c r="H56" s="338"/>
    </row>
    <row r="57" spans="1:9" x14ac:dyDescent="0.2">
      <c r="A57" s="91" t="s">
        <v>143</v>
      </c>
      <c r="B57" s="138"/>
      <c r="C57" s="138"/>
      <c r="D57" s="138"/>
      <c r="E57" s="138"/>
      <c r="F57" s="138"/>
      <c r="G57" s="138"/>
      <c r="H57" s="338"/>
    </row>
    <row r="58" spans="1:9" x14ac:dyDescent="0.2">
      <c r="A58" s="328" t="s">
        <v>144</v>
      </c>
      <c r="B58" s="329"/>
      <c r="C58" s="329"/>
      <c r="D58" s="329"/>
      <c r="E58" s="329"/>
      <c r="F58" s="1"/>
      <c r="G58" s="1"/>
      <c r="H58" s="338"/>
    </row>
    <row r="59" spans="1:9" x14ac:dyDescent="0.2">
      <c r="A59" s="336" t="s">
        <v>145</v>
      </c>
      <c r="B59" s="142"/>
      <c r="C59" s="142"/>
      <c r="D59" s="142"/>
      <c r="E59" s="142"/>
      <c r="F59" s="1"/>
      <c r="G59" s="1"/>
      <c r="H59" s="338"/>
    </row>
    <row r="60" spans="1:9" x14ac:dyDescent="0.2">
      <c r="A60" s="142" t="s">
        <v>147</v>
      </c>
      <c r="B60" s="142"/>
      <c r="C60" s="142"/>
      <c r="D60" s="142"/>
      <c r="E60" s="142"/>
      <c r="F60" s="1"/>
      <c r="G60" s="1"/>
      <c r="H60" s="338"/>
    </row>
    <row r="61" spans="1:9" x14ac:dyDescent="0.2">
      <c r="A61" s="142" t="s">
        <v>148</v>
      </c>
      <c r="B61" s="142"/>
      <c r="C61" s="142"/>
      <c r="D61" s="142"/>
      <c r="E61" s="142"/>
      <c r="F61" s="1"/>
      <c r="G61" s="1"/>
      <c r="H61" s="338"/>
    </row>
    <row r="62" spans="1:9" x14ac:dyDescent="0.2">
      <c r="A62" s="142" t="s">
        <v>150</v>
      </c>
      <c r="B62" s="142"/>
      <c r="C62" s="142"/>
      <c r="D62" s="142"/>
      <c r="E62" s="142"/>
      <c r="F62" s="1"/>
      <c r="G62" s="1"/>
      <c r="H62" s="338"/>
    </row>
    <row r="63" spans="1:9" x14ac:dyDescent="0.2">
      <c r="A63" s="142" t="s">
        <v>151</v>
      </c>
      <c r="B63" s="142"/>
      <c r="C63" s="142"/>
      <c r="D63" s="142"/>
      <c r="E63" s="142"/>
      <c r="F63" s="1"/>
      <c r="G63" s="1"/>
      <c r="H63" s="338"/>
    </row>
    <row r="64" spans="1:9" x14ac:dyDescent="0.2">
      <c r="A64" s="336" t="s">
        <v>152</v>
      </c>
      <c r="B64" s="142"/>
      <c r="C64" s="142"/>
      <c r="D64" s="142"/>
      <c r="E64" s="142"/>
      <c r="F64" s="1"/>
      <c r="G64" s="1"/>
      <c r="H64" s="338"/>
    </row>
    <row r="65" spans="1:8" x14ac:dyDescent="0.2">
      <c r="A65" s="142" t="s">
        <v>153</v>
      </c>
      <c r="B65" s="142"/>
      <c r="C65" s="142"/>
      <c r="D65" s="142"/>
      <c r="E65" s="142"/>
      <c r="F65" s="1"/>
      <c r="G65" s="1"/>
      <c r="H65" s="338"/>
    </row>
    <row r="66" spans="1:8" x14ac:dyDescent="0.2">
      <c r="A66" s="142" t="s">
        <v>154</v>
      </c>
      <c r="B66" s="142"/>
      <c r="C66" s="142"/>
      <c r="D66" s="143"/>
      <c r="E66" s="142"/>
      <c r="F66" s="1"/>
      <c r="G66" s="1"/>
      <c r="H66" s="338"/>
    </row>
    <row r="67" spans="1:8" x14ac:dyDescent="0.2">
      <c r="A67" s="142" t="s">
        <v>155</v>
      </c>
      <c r="B67" s="142"/>
      <c r="C67" s="142"/>
      <c r="D67" s="143"/>
      <c r="E67" s="142"/>
      <c r="F67" s="1"/>
      <c r="G67" s="1"/>
      <c r="H67" s="338"/>
    </row>
    <row r="68" spans="1:8" x14ac:dyDescent="0.2">
      <c r="A68" s="142" t="s">
        <v>156</v>
      </c>
      <c r="B68" s="142"/>
      <c r="C68" s="142"/>
      <c r="D68" s="143"/>
      <c r="E68" s="142"/>
      <c r="F68" s="1"/>
      <c r="G68" s="1"/>
      <c r="H68" s="338"/>
    </row>
    <row r="69" spans="1:8" x14ac:dyDescent="0.2">
      <c r="A69" s="1"/>
      <c r="B69" s="1"/>
      <c r="C69" s="1"/>
      <c r="D69" s="1"/>
      <c r="E69" s="1"/>
      <c r="F69" s="1"/>
      <c r="G69" s="1"/>
      <c r="H69" s="338"/>
    </row>
    <row r="70" spans="1:8" x14ac:dyDescent="0.2">
      <c r="A70" s="1"/>
      <c r="B70" s="1"/>
      <c r="C70" s="1"/>
      <c r="D70" s="1"/>
      <c r="E70" s="1"/>
      <c r="F70" s="1"/>
      <c r="G70" s="1"/>
      <c r="H70" s="338"/>
    </row>
  </sheetData>
  <sheetProtection algorithmName="SHA-512" hashValue="GL4586ejY1FJyEucfxZaSldiNDnyWlu+DDKjrNTsTZlv5EBV7B3PTHiuC5jt9ACsvCaCzM1k97/BRt/FVsjcLQ==" saltValue="edgoLd4iUe9ISreqqmb8dA==" spinCount="100000" sheet="1" objects="1" scenarios="1"/>
  <mergeCells count="75">
    <mergeCell ref="B49:C49"/>
    <mergeCell ref="B50:C50"/>
    <mergeCell ref="B51:C51"/>
    <mergeCell ref="B52:C52"/>
    <mergeCell ref="B46:C46"/>
    <mergeCell ref="B47:C47"/>
    <mergeCell ref="B48:C48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H1"/>
    <mergeCell ref="K1:Q2"/>
    <mergeCell ref="A3:A4"/>
    <mergeCell ref="K3:Q3"/>
    <mergeCell ref="K4:K5"/>
    <mergeCell ref="L4:L5"/>
    <mergeCell ref="M4:O5"/>
    <mergeCell ref="P4:Q4"/>
    <mergeCell ref="B5:C5"/>
    <mergeCell ref="B3:C3"/>
    <mergeCell ref="B4:C4"/>
    <mergeCell ref="K6:K9"/>
    <mergeCell ref="L6:L7"/>
    <mergeCell ref="L8:L9"/>
    <mergeCell ref="K10:K13"/>
    <mergeCell ref="L10:L11"/>
    <mergeCell ref="L12:L13"/>
    <mergeCell ref="K14:K25"/>
    <mergeCell ref="L14:L17"/>
    <mergeCell ref="L18:L19"/>
    <mergeCell ref="L20:L21"/>
    <mergeCell ref="L22:L23"/>
    <mergeCell ref="L24:L25"/>
    <mergeCell ref="K26:K35"/>
    <mergeCell ref="L26:L27"/>
    <mergeCell ref="L28:L31"/>
    <mergeCell ref="L32:L33"/>
    <mergeCell ref="L34:L35"/>
  </mergeCells>
  <pageMargins left="0.78740157480314965" right="0.27559055118110237" top="0.35433070866141736" bottom="0.23622047244094491" header="0.15748031496062992" footer="0.15748031496062992"/>
  <pageSetup paperSize="9" scale="70" orientation="portrait" r:id="rId1"/>
  <headerFooter>
    <oddHeader xml:space="preserve">&amp;R&amp;A  / &amp;F     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8"/>
  <sheetViews>
    <sheetView topLeftCell="A28" workbookViewId="0">
      <selection activeCell="B3" sqref="B3"/>
    </sheetView>
  </sheetViews>
  <sheetFormatPr defaultRowHeight="14.25" x14ac:dyDescent="0.2"/>
  <cols>
    <col min="1" max="1" width="17" style="369" customWidth="1"/>
    <col min="2" max="2" width="17.125" customWidth="1"/>
    <col min="3" max="3" width="15.125" customWidth="1"/>
    <col min="4" max="4" width="20.625" customWidth="1"/>
    <col min="5" max="5" width="14.75" customWidth="1"/>
    <col min="6" max="6" width="19.25" customWidth="1"/>
    <col min="7" max="7" width="13.125" bestFit="1" customWidth="1"/>
  </cols>
  <sheetData>
    <row r="1" spans="1:7" ht="31.5" customHeight="1" x14ac:dyDescent="0.35">
      <c r="A1" s="598" t="s">
        <v>202</v>
      </c>
      <c r="B1" s="599"/>
      <c r="C1" s="599"/>
      <c r="D1" s="599"/>
      <c r="E1" s="599"/>
      <c r="F1" s="600"/>
    </row>
    <row r="2" spans="1:7" ht="54" x14ac:dyDescent="0.2">
      <c r="A2" s="366" t="s">
        <v>203</v>
      </c>
      <c r="B2" s="366" t="s">
        <v>103</v>
      </c>
      <c r="C2" s="367" t="s">
        <v>211</v>
      </c>
      <c r="D2" s="367" t="s">
        <v>206</v>
      </c>
      <c r="E2" s="366" t="s">
        <v>23</v>
      </c>
      <c r="F2" s="370" t="s">
        <v>28</v>
      </c>
    </row>
    <row r="3" spans="1:7" ht="21.75" customHeight="1" x14ac:dyDescent="0.2">
      <c r="A3" s="425">
        <v>41640</v>
      </c>
      <c r="B3" s="426">
        <v>35010</v>
      </c>
      <c r="C3" s="427">
        <f>IF(B3&gt;0,5,(""))</f>
        <v>5</v>
      </c>
      <c r="D3" s="428">
        <f>IF(B3&gt;0,(B3*C3/100),(""))</f>
        <v>1750.5</v>
      </c>
      <c r="E3" s="429">
        <f>IF(B3&gt;0,3,(""))</f>
        <v>3</v>
      </c>
      <c r="F3" s="428">
        <f>IF(B3&gt;0,(D3*E3),(""))</f>
        <v>5251.5</v>
      </c>
    </row>
    <row r="4" spans="1:7" ht="19.5" customHeight="1" x14ac:dyDescent="0.2">
      <c r="A4" s="430"/>
      <c r="B4" s="431"/>
      <c r="C4" s="432" t="str">
        <f>IF(B4&gt;0,5,(""))</f>
        <v/>
      </c>
      <c r="D4" s="433" t="str">
        <f>IF(B4&gt;0,(B4*C4/100),(""))</f>
        <v/>
      </c>
      <c r="E4" s="434" t="str">
        <f>IF(B4&gt;0,6,(""))</f>
        <v/>
      </c>
      <c r="F4" s="433" t="str">
        <f>IF(B4&gt;0,(D4*E4),(""))</f>
        <v/>
      </c>
    </row>
    <row r="5" spans="1:7" ht="19.5" customHeight="1" x14ac:dyDescent="0.2">
      <c r="A5" s="435">
        <v>41730</v>
      </c>
      <c r="B5" s="436">
        <f>'ฟอร์มสูตร ประมาณการเงินเดือน'!B5</f>
        <v>35010</v>
      </c>
      <c r="C5" s="432">
        <f t="shared" ref="C5:C34" si="0">IF(B5&gt;0,5,(""))</f>
        <v>5</v>
      </c>
      <c r="D5" s="433">
        <f t="shared" ref="D5:D34" si="1">IF(B5&gt;0,(B5*C5/100),(""))</f>
        <v>1750.5</v>
      </c>
      <c r="E5" s="434">
        <f>IF(B5&gt;0,6,(""))</f>
        <v>6</v>
      </c>
      <c r="F5" s="433">
        <f t="shared" ref="F5:F34" si="2">IF(B5&gt;0,(D5*E5),(""))</f>
        <v>10503</v>
      </c>
      <c r="G5" s="368"/>
    </row>
    <row r="6" spans="1:7" ht="19.5" customHeight="1" x14ac:dyDescent="0.2">
      <c r="A6" s="437">
        <f>IF(B6&gt;0,('ฟอร์มสูตร ประมาณการเงินเดือน'!A6),(""))</f>
        <v>41913</v>
      </c>
      <c r="B6" s="436">
        <f>'ฟอร์มสูตร ประมาณการเงินเดือน'!B6</f>
        <v>35950</v>
      </c>
      <c r="C6" s="432">
        <f t="shared" si="0"/>
        <v>5</v>
      </c>
      <c r="D6" s="433">
        <f t="shared" si="1"/>
        <v>1797.5</v>
      </c>
      <c r="E6" s="434">
        <f t="shared" ref="E6:E34" si="3">IF(B6&gt;0,6,(""))</f>
        <v>6</v>
      </c>
      <c r="F6" s="433">
        <f t="shared" si="2"/>
        <v>10785</v>
      </c>
      <c r="G6" s="368"/>
    </row>
    <row r="7" spans="1:7" ht="19.5" customHeight="1" x14ac:dyDescent="0.2">
      <c r="A7" s="437">
        <f>IF(B7&gt;0,('ฟอร์มสูตร ประมาณการเงินเดือน'!A7),(""))</f>
        <v>42095</v>
      </c>
      <c r="B7" s="436">
        <f>'ฟอร์มสูตร ประมาณการเงินเดือน'!B7</f>
        <v>36890</v>
      </c>
      <c r="C7" s="432">
        <f t="shared" si="0"/>
        <v>5</v>
      </c>
      <c r="D7" s="433">
        <f t="shared" si="1"/>
        <v>1844.5</v>
      </c>
      <c r="E7" s="434">
        <f t="shared" si="3"/>
        <v>6</v>
      </c>
      <c r="F7" s="433">
        <f t="shared" si="2"/>
        <v>11067</v>
      </c>
      <c r="G7" s="368"/>
    </row>
    <row r="8" spans="1:7" ht="19.5" customHeight="1" x14ac:dyDescent="0.2">
      <c r="A8" s="437">
        <f>IF(B8&gt;0,('ฟอร์มสูตร ประมาณการเงินเดือน'!A8),(""))</f>
        <v>42278</v>
      </c>
      <c r="B8" s="436">
        <f>'ฟอร์มสูตร ประมาณการเงินเดือน'!B8</f>
        <v>37830</v>
      </c>
      <c r="C8" s="432">
        <f t="shared" si="0"/>
        <v>5</v>
      </c>
      <c r="D8" s="433">
        <f t="shared" si="1"/>
        <v>1891.5</v>
      </c>
      <c r="E8" s="434">
        <f t="shared" si="3"/>
        <v>6</v>
      </c>
      <c r="F8" s="433">
        <f t="shared" si="2"/>
        <v>11349</v>
      </c>
      <c r="G8" s="368"/>
    </row>
    <row r="9" spans="1:7" ht="19.5" customHeight="1" x14ac:dyDescent="0.2">
      <c r="A9" s="437">
        <f>IF(B9&gt;0,('ฟอร์มสูตร ประมาณการเงินเดือน'!A9),(""))</f>
        <v>42461</v>
      </c>
      <c r="B9" s="436">
        <f>'ฟอร์มสูตร ประมาณการเงินเดือน'!B9</f>
        <v>38770</v>
      </c>
      <c r="C9" s="432">
        <f t="shared" si="0"/>
        <v>5</v>
      </c>
      <c r="D9" s="433">
        <f t="shared" si="1"/>
        <v>1938.5</v>
      </c>
      <c r="E9" s="434">
        <f t="shared" si="3"/>
        <v>6</v>
      </c>
      <c r="F9" s="433">
        <f t="shared" si="2"/>
        <v>11631</v>
      </c>
      <c r="G9" s="368"/>
    </row>
    <row r="10" spans="1:7" ht="19.5" customHeight="1" x14ac:dyDescent="0.2">
      <c r="A10" s="437">
        <f>IF(B10&gt;0,('ฟอร์มสูตร ประมาณการเงินเดือน'!A10),(""))</f>
        <v>42644</v>
      </c>
      <c r="B10" s="436">
        <f>'ฟอร์มสูตร ประมาณการเงินเดือน'!B10</f>
        <v>39630</v>
      </c>
      <c r="C10" s="432">
        <f t="shared" si="0"/>
        <v>5</v>
      </c>
      <c r="D10" s="433">
        <f t="shared" si="1"/>
        <v>1981.5</v>
      </c>
      <c r="E10" s="434">
        <f t="shared" si="3"/>
        <v>6</v>
      </c>
      <c r="F10" s="433">
        <f t="shared" si="2"/>
        <v>11889</v>
      </c>
      <c r="G10" s="368"/>
    </row>
    <row r="11" spans="1:7" ht="19.5" customHeight="1" x14ac:dyDescent="0.2">
      <c r="A11" s="437">
        <f>IF(B11&gt;0,('ฟอร์มสูตร ประมาณการเงินเดือน'!A11),(""))</f>
        <v>42826</v>
      </c>
      <c r="B11" s="436">
        <f>'ฟอร์มสูตร ประมาณการเงินเดือน'!B11</f>
        <v>39630</v>
      </c>
      <c r="C11" s="432">
        <f t="shared" si="0"/>
        <v>5</v>
      </c>
      <c r="D11" s="433">
        <f t="shared" si="1"/>
        <v>1981.5</v>
      </c>
      <c r="E11" s="434">
        <f t="shared" si="3"/>
        <v>6</v>
      </c>
      <c r="F11" s="433">
        <f t="shared" si="2"/>
        <v>11889</v>
      </c>
      <c r="G11" s="368"/>
    </row>
    <row r="12" spans="1:7" ht="19.5" customHeight="1" x14ac:dyDescent="0.2">
      <c r="A12" s="437">
        <f>IF(B12&gt;0,('ฟอร์มสูตร ประมาณการเงินเดือน'!A12),(""))</f>
        <v>43009</v>
      </c>
      <c r="B12" s="436">
        <f>'ฟอร์มสูตร ประมาณการเงินเดือน'!B12</f>
        <v>39630</v>
      </c>
      <c r="C12" s="432">
        <f t="shared" si="0"/>
        <v>5</v>
      </c>
      <c r="D12" s="433">
        <f t="shared" si="1"/>
        <v>1981.5</v>
      </c>
      <c r="E12" s="434">
        <f t="shared" si="3"/>
        <v>6</v>
      </c>
      <c r="F12" s="433">
        <f t="shared" si="2"/>
        <v>11889</v>
      </c>
      <c r="G12" s="368"/>
    </row>
    <row r="13" spans="1:7" ht="19.5" customHeight="1" x14ac:dyDescent="0.2">
      <c r="A13" s="437">
        <f>IF(B13&gt;0,('ฟอร์มสูตร ประมาณการเงินเดือน'!A13),(""))</f>
        <v>43191</v>
      </c>
      <c r="B13" s="436">
        <f>'ฟอร์มสูตร ประมาณการเงินเดือน'!B13</f>
        <v>39630</v>
      </c>
      <c r="C13" s="432">
        <f t="shared" si="0"/>
        <v>5</v>
      </c>
      <c r="D13" s="433">
        <f t="shared" si="1"/>
        <v>1981.5</v>
      </c>
      <c r="E13" s="434">
        <f t="shared" si="3"/>
        <v>6</v>
      </c>
      <c r="F13" s="433">
        <f t="shared" si="2"/>
        <v>11889</v>
      </c>
      <c r="G13" s="368"/>
    </row>
    <row r="14" spans="1:7" ht="19.5" customHeight="1" x14ac:dyDescent="0.2">
      <c r="A14" s="437">
        <f>IF(B14&gt;0,('ฟอร์มสูตร ประมาณการเงินเดือน'!A14),(""))</f>
        <v>43374</v>
      </c>
      <c r="B14" s="436">
        <f>'ฟอร์มสูตร ประมาณการเงินเดือน'!B14</f>
        <v>39630</v>
      </c>
      <c r="C14" s="432">
        <f t="shared" si="0"/>
        <v>5</v>
      </c>
      <c r="D14" s="433">
        <f t="shared" si="1"/>
        <v>1981.5</v>
      </c>
      <c r="E14" s="434">
        <f t="shared" si="3"/>
        <v>6</v>
      </c>
      <c r="F14" s="433">
        <f t="shared" si="2"/>
        <v>11889</v>
      </c>
      <c r="G14" s="368"/>
    </row>
    <row r="15" spans="1:7" ht="19.5" customHeight="1" x14ac:dyDescent="0.2">
      <c r="A15" s="437">
        <f>IF(B15&gt;0,('ฟอร์มสูตร ประมาณการเงินเดือน'!A15),(""))</f>
        <v>43556</v>
      </c>
      <c r="B15" s="436">
        <f>'ฟอร์มสูตร ประมาณการเงินเดือน'!B15</f>
        <v>39630</v>
      </c>
      <c r="C15" s="432">
        <f t="shared" si="0"/>
        <v>5</v>
      </c>
      <c r="D15" s="433">
        <f t="shared" si="1"/>
        <v>1981.5</v>
      </c>
      <c r="E15" s="434">
        <f t="shared" si="3"/>
        <v>6</v>
      </c>
      <c r="F15" s="433">
        <f t="shared" si="2"/>
        <v>11889</v>
      </c>
      <c r="G15" s="368"/>
    </row>
    <row r="16" spans="1:7" ht="19.5" customHeight="1" x14ac:dyDescent="0.2">
      <c r="A16" s="437">
        <f>IF(B16&gt;0,('ฟอร์มสูตร ประมาณการเงินเดือน'!A16),(""))</f>
        <v>43739</v>
      </c>
      <c r="B16" s="436">
        <f>'ฟอร์มสูตร ประมาณการเงินเดือน'!B16</f>
        <v>39630</v>
      </c>
      <c r="C16" s="432">
        <f t="shared" si="0"/>
        <v>5</v>
      </c>
      <c r="D16" s="433">
        <f t="shared" si="1"/>
        <v>1981.5</v>
      </c>
      <c r="E16" s="434">
        <f t="shared" si="3"/>
        <v>6</v>
      </c>
      <c r="F16" s="433">
        <f t="shared" si="2"/>
        <v>11889</v>
      </c>
      <c r="G16" s="368"/>
    </row>
    <row r="17" spans="1:6" ht="19.5" customHeight="1" x14ac:dyDescent="0.2">
      <c r="A17" s="437">
        <f>IF(B17&gt;0,('ฟอร์มสูตร ประมาณการเงินเดือน'!A17),(""))</f>
        <v>43922</v>
      </c>
      <c r="B17" s="436">
        <f>'ฟอร์มสูตร ประมาณการเงินเดือน'!B17</f>
        <v>39630</v>
      </c>
      <c r="C17" s="432">
        <f t="shared" si="0"/>
        <v>5</v>
      </c>
      <c r="D17" s="433">
        <f t="shared" si="1"/>
        <v>1981.5</v>
      </c>
      <c r="E17" s="434">
        <f t="shared" si="3"/>
        <v>6</v>
      </c>
      <c r="F17" s="433">
        <f t="shared" si="2"/>
        <v>11889</v>
      </c>
    </row>
    <row r="18" spans="1:6" ht="19.5" customHeight="1" x14ac:dyDescent="0.2">
      <c r="A18" s="437">
        <f>IF(B18&gt;0,('ฟอร์มสูตร ประมาณการเงินเดือน'!A18),(""))</f>
        <v>44105</v>
      </c>
      <c r="B18" s="436">
        <f>'ฟอร์มสูตร ประมาณการเงินเดือน'!B18</f>
        <v>39630</v>
      </c>
      <c r="C18" s="432">
        <f t="shared" si="0"/>
        <v>5</v>
      </c>
      <c r="D18" s="433">
        <f t="shared" si="1"/>
        <v>1981.5</v>
      </c>
      <c r="E18" s="434">
        <f t="shared" si="3"/>
        <v>6</v>
      </c>
      <c r="F18" s="433">
        <f t="shared" si="2"/>
        <v>11889</v>
      </c>
    </row>
    <row r="19" spans="1:6" ht="19.5" customHeight="1" x14ac:dyDescent="0.2">
      <c r="A19" s="437">
        <f>IF(B19&gt;0,('ฟอร์มสูตร ประมาณการเงินเดือน'!A19),(""))</f>
        <v>44287</v>
      </c>
      <c r="B19" s="436">
        <f>'ฟอร์มสูตร ประมาณการเงินเดือน'!B19</f>
        <v>39630</v>
      </c>
      <c r="C19" s="432">
        <f t="shared" si="0"/>
        <v>5</v>
      </c>
      <c r="D19" s="433">
        <f t="shared" si="1"/>
        <v>1981.5</v>
      </c>
      <c r="E19" s="434">
        <f t="shared" si="3"/>
        <v>6</v>
      </c>
      <c r="F19" s="433">
        <f t="shared" si="2"/>
        <v>11889</v>
      </c>
    </row>
    <row r="20" spans="1:6" ht="19.5" customHeight="1" x14ac:dyDescent="0.2">
      <c r="A20" s="437">
        <f>IF(B20&gt;0,('ฟอร์มสูตร ประมาณการเงินเดือน'!A20),(""))</f>
        <v>44470</v>
      </c>
      <c r="B20" s="436">
        <f>'ฟอร์มสูตร ประมาณการเงินเดือน'!B20</f>
        <v>39630</v>
      </c>
      <c r="C20" s="432">
        <f t="shared" si="0"/>
        <v>5</v>
      </c>
      <c r="D20" s="433">
        <f t="shared" si="1"/>
        <v>1981.5</v>
      </c>
      <c r="E20" s="434">
        <f t="shared" si="3"/>
        <v>6</v>
      </c>
      <c r="F20" s="433">
        <f t="shared" si="2"/>
        <v>11889</v>
      </c>
    </row>
    <row r="21" spans="1:6" ht="19.5" customHeight="1" x14ac:dyDescent="0.2">
      <c r="A21" s="437">
        <f>IF(B21&gt;0,('ฟอร์มสูตร ประมาณการเงินเดือน'!A21),(""))</f>
        <v>44652</v>
      </c>
      <c r="B21" s="436">
        <f>'ฟอร์มสูตร ประมาณการเงินเดือน'!B21</f>
        <v>39630</v>
      </c>
      <c r="C21" s="432">
        <f t="shared" si="0"/>
        <v>5</v>
      </c>
      <c r="D21" s="433">
        <f t="shared" si="1"/>
        <v>1981.5</v>
      </c>
      <c r="E21" s="434">
        <f t="shared" si="3"/>
        <v>6</v>
      </c>
      <c r="F21" s="433">
        <f t="shared" si="2"/>
        <v>11889</v>
      </c>
    </row>
    <row r="22" spans="1:6" ht="19.5" customHeight="1" x14ac:dyDescent="0.2">
      <c r="A22" s="437">
        <f>IF(B22&gt;0,('ฟอร์มสูตร ประมาณการเงินเดือน'!A22),(""))</f>
        <v>44835</v>
      </c>
      <c r="B22" s="436">
        <f>'ฟอร์มสูตร ประมาณการเงินเดือน'!B22</f>
        <v>39630</v>
      </c>
      <c r="C22" s="432">
        <f t="shared" si="0"/>
        <v>5</v>
      </c>
      <c r="D22" s="433">
        <f t="shared" si="1"/>
        <v>1981.5</v>
      </c>
      <c r="E22" s="434">
        <f t="shared" si="3"/>
        <v>6</v>
      </c>
      <c r="F22" s="433">
        <f t="shared" si="2"/>
        <v>11889</v>
      </c>
    </row>
    <row r="23" spans="1:6" ht="19.5" customHeight="1" x14ac:dyDescent="0.2">
      <c r="A23" s="437">
        <f>IF(B23&gt;0,('ฟอร์มสูตร ประมาณการเงินเดือน'!A23),(""))</f>
        <v>45017</v>
      </c>
      <c r="B23" s="436">
        <f>'ฟอร์มสูตร ประมาณการเงินเดือน'!B23</f>
        <v>39630</v>
      </c>
      <c r="C23" s="432">
        <f t="shared" si="0"/>
        <v>5</v>
      </c>
      <c r="D23" s="433">
        <f t="shared" si="1"/>
        <v>1981.5</v>
      </c>
      <c r="E23" s="434">
        <f t="shared" si="3"/>
        <v>6</v>
      </c>
      <c r="F23" s="433">
        <f t="shared" si="2"/>
        <v>11889</v>
      </c>
    </row>
    <row r="24" spans="1:6" ht="19.5" customHeight="1" x14ac:dyDescent="0.2">
      <c r="A24" s="437">
        <f>IF(B24&gt;0,('ฟอร์มสูตร ประมาณการเงินเดือน'!A24),(""))</f>
        <v>45200</v>
      </c>
      <c r="B24" s="436">
        <f>'ฟอร์มสูตร ประมาณการเงินเดือน'!B24</f>
        <v>39630</v>
      </c>
      <c r="C24" s="432">
        <f t="shared" si="0"/>
        <v>5</v>
      </c>
      <c r="D24" s="433">
        <f t="shared" si="1"/>
        <v>1981.5</v>
      </c>
      <c r="E24" s="434">
        <f t="shared" si="3"/>
        <v>6</v>
      </c>
      <c r="F24" s="433">
        <f t="shared" si="2"/>
        <v>11889</v>
      </c>
    </row>
    <row r="25" spans="1:6" ht="19.5" customHeight="1" x14ac:dyDescent="0.2">
      <c r="A25" s="437">
        <f>IF(B25&gt;0,('ฟอร์มสูตร ประมาณการเงินเดือน'!A25),(""))</f>
        <v>45383</v>
      </c>
      <c r="B25" s="436">
        <f>'ฟอร์มสูตร ประมาณการเงินเดือน'!B25</f>
        <v>39630</v>
      </c>
      <c r="C25" s="432">
        <f t="shared" si="0"/>
        <v>5</v>
      </c>
      <c r="D25" s="433">
        <f t="shared" si="1"/>
        <v>1981.5</v>
      </c>
      <c r="E25" s="434">
        <f t="shared" si="3"/>
        <v>6</v>
      </c>
      <c r="F25" s="433">
        <f t="shared" si="2"/>
        <v>11889</v>
      </c>
    </row>
    <row r="26" spans="1:6" ht="19.5" customHeight="1" x14ac:dyDescent="0.2">
      <c r="A26" s="437">
        <f>IF(B26&gt;0,('ฟอร์มสูตร ประมาณการเงินเดือน'!A26),(""))</f>
        <v>45200</v>
      </c>
      <c r="B26" s="436">
        <f>'ฟอร์มสูตร ประมาณการเงินเดือน'!B26</f>
        <v>39630</v>
      </c>
      <c r="C26" s="432">
        <f t="shared" si="0"/>
        <v>5</v>
      </c>
      <c r="D26" s="433">
        <f t="shared" si="1"/>
        <v>1981.5</v>
      </c>
      <c r="E26" s="434">
        <f t="shared" si="3"/>
        <v>6</v>
      </c>
      <c r="F26" s="433">
        <f t="shared" si="2"/>
        <v>11889</v>
      </c>
    </row>
    <row r="27" spans="1:6" ht="19.5" customHeight="1" x14ac:dyDescent="0.2">
      <c r="A27" s="437">
        <f>IF(B27&gt;0,('ฟอร์มสูตร ประมาณการเงินเดือน'!A27),(""))</f>
        <v>45383</v>
      </c>
      <c r="B27" s="436">
        <f>'ฟอร์มสูตร ประมาณการเงินเดือน'!B27</f>
        <v>39630</v>
      </c>
      <c r="C27" s="432">
        <f t="shared" si="0"/>
        <v>5</v>
      </c>
      <c r="D27" s="433">
        <f t="shared" si="1"/>
        <v>1981.5</v>
      </c>
      <c r="E27" s="434">
        <f t="shared" si="3"/>
        <v>6</v>
      </c>
      <c r="F27" s="433">
        <f t="shared" si="2"/>
        <v>11889</v>
      </c>
    </row>
    <row r="28" spans="1:6" ht="19.5" customHeight="1" x14ac:dyDescent="0.2">
      <c r="A28" s="437">
        <f>IF(B28&gt;0,('ฟอร์มสูตร ประมาณการเงินเดือน'!A28),(""))</f>
        <v>45566</v>
      </c>
      <c r="B28" s="436">
        <f>'ฟอร์มสูตร ประมาณการเงินเดือน'!B28</f>
        <v>39630</v>
      </c>
      <c r="C28" s="432">
        <f t="shared" si="0"/>
        <v>5</v>
      </c>
      <c r="D28" s="433">
        <f t="shared" si="1"/>
        <v>1981.5</v>
      </c>
      <c r="E28" s="434">
        <f t="shared" si="3"/>
        <v>6</v>
      </c>
      <c r="F28" s="433">
        <f t="shared" si="2"/>
        <v>11889</v>
      </c>
    </row>
    <row r="29" spans="1:6" ht="19.5" customHeight="1" x14ac:dyDescent="0.2">
      <c r="A29" s="437">
        <f>IF(B29&gt;0,('ฟอร์มสูตร ประมาณการเงินเดือน'!A29),(""))</f>
        <v>45748</v>
      </c>
      <c r="B29" s="436">
        <f>'ฟอร์มสูตร ประมาณการเงินเดือน'!B29</f>
        <v>39630</v>
      </c>
      <c r="C29" s="432">
        <f t="shared" si="0"/>
        <v>5</v>
      </c>
      <c r="D29" s="433">
        <f t="shared" si="1"/>
        <v>1981.5</v>
      </c>
      <c r="E29" s="434">
        <f t="shared" si="3"/>
        <v>6</v>
      </c>
      <c r="F29" s="433">
        <f t="shared" si="2"/>
        <v>11889</v>
      </c>
    </row>
    <row r="30" spans="1:6" ht="19.5" customHeight="1" x14ac:dyDescent="0.2">
      <c r="A30" s="437" t="str">
        <f>IF(B30&gt;0,('ฟอร์มสูตร ประมาณการเงินเดือน'!A30),(""))</f>
        <v/>
      </c>
      <c r="B30" s="436">
        <f>'ฟอร์มสูตร ประมาณการเงินเดือน'!B30</f>
        <v>0</v>
      </c>
      <c r="C30" s="432" t="str">
        <f t="shared" si="0"/>
        <v/>
      </c>
      <c r="D30" s="433" t="str">
        <f t="shared" si="1"/>
        <v/>
      </c>
      <c r="E30" s="434" t="str">
        <f t="shared" si="3"/>
        <v/>
      </c>
      <c r="F30" s="433" t="str">
        <f t="shared" si="2"/>
        <v/>
      </c>
    </row>
    <row r="31" spans="1:6" ht="19.5" customHeight="1" x14ac:dyDescent="0.2">
      <c r="A31" s="437" t="str">
        <f>IF(B31&gt;0,('ฟอร์มสูตร ประมาณการเงินเดือน'!A31),(""))</f>
        <v/>
      </c>
      <c r="B31" s="436">
        <f>'ฟอร์มสูตร ประมาณการเงินเดือน'!B31</f>
        <v>0</v>
      </c>
      <c r="C31" s="432" t="str">
        <f t="shared" si="0"/>
        <v/>
      </c>
      <c r="D31" s="433" t="str">
        <f t="shared" si="1"/>
        <v/>
      </c>
      <c r="E31" s="434" t="str">
        <f t="shared" si="3"/>
        <v/>
      </c>
      <c r="F31" s="433" t="str">
        <f t="shared" si="2"/>
        <v/>
      </c>
    </row>
    <row r="32" spans="1:6" ht="19.5" customHeight="1" x14ac:dyDescent="0.2">
      <c r="A32" s="437" t="str">
        <f>IF(B32&gt;0,('ฟอร์มสูตร ประมาณการเงินเดือน'!A32),(""))</f>
        <v/>
      </c>
      <c r="B32" s="436">
        <f>'ฟอร์มสูตร ประมาณการเงินเดือน'!B32</f>
        <v>0</v>
      </c>
      <c r="C32" s="432" t="str">
        <f t="shared" si="0"/>
        <v/>
      </c>
      <c r="D32" s="433" t="str">
        <f t="shared" si="1"/>
        <v/>
      </c>
      <c r="E32" s="434" t="str">
        <f t="shared" si="3"/>
        <v/>
      </c>
      <c r="F32" s="433" t="str">
        <f t="shared" si="2"/>
        <v/>
      </c>
    </row>
    <row r="33" spans="1:6" ht="19.5" customHeight="1" x14ac:dyDescent="0.2">
      <c r="A33" s="437" t="str">
        <f>IF(B33&gt;0,('ฟอร์มสูตร ประมาณการเงินเดือน'!A33),(""))</f>
        <v/>
      </c>
      <c r="B33" s="436">
        <f>'ฟอร์มสูตร ประมาณการเงินเดือน'!B33</f>
        <v>0</v>
      </c>
      <c r="C33" s="432" t="str">
        <f t="shared" si="0"/>
        <v/>
      </c>
      <c r="D33" s="433" t="str">
        <f t="shared" si="1"/>
        <v/>
      </c>
      <c r="E33" s="434" t="str">
        <f t="shared" si="3"/>
        <v/>
      </c>
      <c r="F33" s="433" t="str">
        <f t="shared" si="2"/>
        <v/>
      </c>
    </row>
    <row r="34" spans="1:6" ht="19.5" customHeight="1" x14ac:dyDescent="0.2">
      <c r="A34" s="437" t="str">
        <f>IF(B34&gt;0,('ฟอร์มสูตร ประมาณการเงินเดือน'!A34),(""))</f>
        <v/>
      </c>
      <c r="B34" s="436">
        <f>'ฟอร์มสูตร ประมาณการเงินเดือน'!B34</f>
        <v>0</v>
      </c>
      <c r="C34" s="432" t="str">
        <f t="shared" si="0"/>
        <v/>
      </c>
      <c r="D34" s="433" t="str">
        <f t="shared" si="1"/>
        <v/>
      </c>
      <c r="E34" s="434" t="str">
        <f t="shared" si="3"/>
        <v/>
      </c>
      <c r="F34" s="433" t="str">
        <f t="shared" si="2"/>
        <v/>
      </c>
    </row>
    <row r="35" spans="1:6" ht="19.5" customHeight="1" x14ac:dyDescent="0.2">
      <c r="A35" s="437" t="str">
        <f>IF(B35&gt;0,('ฟอร์มสูตร ประมาณการเงินเดือน'!A35),(""))</f>
        <v/>
      </c>
      <c r="B35" s="436">
        <f>'ฟอร์มสูตร ประมาณการเงินเดือน'!B35</f>
        <v>0</v>
      </c>
      <c r="C35" s="432" t="str">
        <f t="shared" ref="C35:C51" si="4">IF(B35&gt;0,5,(""))</f>
        <v/>
      </c>
      <c r="D35" s="433" t="str">
        <f t="shared" ref="D35:D51" si="5">IF(B35&gt;0,(B35*C35/100),(""))</f>
        <v/>
      </c>
      <c r="E35" s="434" t="str">
        <f t="shared" ref="E35:E51" si="6">IF(B35&gt;0,6,(""))</f>
        <v/>
      </c>
      <c r="F35" s="433" t="str">
        <f t="shared" ref="F35:F51" si="7">IF(B35&gt;0,(D35*E35),(""))</f>
        <v/>
      </c>
    </row>
    <row r="36" spans="1:6" ht="19.5" customHeight="1" x14ac:dyDescent="0.2">
      <c r="A36" s="437" t="str">
        <f>IF(B36&gt;0,('ฟอร์มสูตร ประมาณการเงินเดือน'!A36),(""))</f>
        <v/>
      </c>
      <c r="B36" s="436">
        <f>'ฟอร์มสูตร ประมาณการเงินเดือน'!B36</f>
        <v>0</v>
      </c>
      <c r="C36" s="432" t="str">
        <f t="shared" si="4"/>
        <v/>
      </c>
      <c r="D36" s="433" t="str">
        <f t="shared" si="5"/>
        <v/>
      </c>
      <c r="E36" s="434" t="str">
        <f t="shared" si="6"/>
        <v/>
      </c>
      <c r="F36" s="433" t="str">
        <f t="shared" si="7"/>
        <v/>
      </c>
    </row>
    <row r="37" spans="1:6" ht="19.5" customHeight="1" x14ac:dyDescent="0.2">
      <c r="A37" s="437" t="str">
        <f>IF(B37&gt;0,('ฟอร์มสูตร ประมาณการเงินเดือน'!A37),(""))</f>
        <v/>
      </c>
      <c r="B37" s="436">
        <f>'ฟอร์มสูตร ประมาณการเงินเดือน'!B37</f>
        <v>0</v>
      </c>
      <c r="C37" s="432" t="str">
        <f t="shared" si="4"/>
        <v/>
      </c>
      <c r="D37" s="433" t="str">
        <f t="shared" si="5"/>
        <v/>
      </c>
      <c r="E37" s="434" t="str">
        <f t="shared" si="6"/>
        <v/>
      </c>
      <c r="F37" s="433" t="str">
        <f t="shared" si="7"/>
        <v/>
      </c>
    </row>
    <row r="38" spans="1:6" ht="19.5" customHeight="1" x14ac:dyDescent="0.2">
      <c r="A38" s="437" t="str">
        <f>IF(B38&gt;0,('ฟอร์มสูตร ประมาณการเงินเดือน'!A38),(""))</f>
        <v/>
      </c>
      <c r="B38" s="436">
        <f>'ฟอร์มสูตร ประมาณการเงินเดือน'!B38</f>
        <v>0</v>
      </c>
      <c r="C38" s="432" t="str">
        <f t="shared" si="4"/>
        <v/>
      </c>
      <c r="D38" s="433" t="str">
        <f t="shared" si="5"/>
        <v/>
      </c>
      <c r="E38" s="434" t="str">
        <f t="shared" si="6"/>
        <v/>
      </c>
      <c r="F38" s="433" t="str">
        <f t="shared" si="7"/>
        <v/>
      </c>
    </row>
    <row r="39" spans="1:6" ht="19.5" customHeight="1" x14ac:dyDescent="0.2">
      <c r="A39" s="437" t="str">
        <f>IF(B39&gt;0,('ฟอร์มสูตร ประมาณการเงินเดือน'!A39),(""))</f>
        <v/>
      </c>
      <c r="B39" s="436">
        <f>'ฟอร์มสูตร ประมาณการเงินเดือน'!B39</f>
        <v>0</v>
      </c>
      <c r="C39" s="432" t="str">
        <f t="shared" si="4"/>
        <v/>
      </c>
      <c r="D39" s="433" t="str">
        <f t="shared" si="5"/>
        <v/>
      </c>
      <c r="E39" s="434" t="str">
        <f t="shared" si="6"/>
        <v/>
      </c>
      <c r="F39" s="433" t="str">
        <f t="shared" si="7"/>
        <v/>
      </c>
    </row>
    <row r="40" spans="1:6" ht="19.5" customHeight="1" x14ac:dyDescent="0.2">
      <c r="A40" s="437" t="str">
        <f>IF(B40&gt;0,('ฟอร์มสูตร ประมาณการเงินเดือน'!A40),(""))</f>
        <v/>
      </c>
      <c r="B40" s="436">
        <f>'ฟอร์มสูตร ประมาณการเงินเดือน'!B40</f>
        <v>0</v>
      </c>
      <c r="C40" s="432" t="str">
        <f t="shared" si="4"/>
        <v/>
      </c>
      <c r="D40" s="433" t="str">
        <f t="shared" si="5"/>
        <v/>
      </c>
      <c r="E40" s="434" t="str">
        <f t="shared" si="6"/>
        <v/>
      </c>
      <c r="F40" s="433" t="str">
        <f t="shared" si="7"/>
        <v/>
      </c>
    </row>
    <row r="41" spans="1:6" ht="19.5" customHeight="1" x14ac:dyDescent="0.2">
      <c r="A41" s="437" t="str">
        <f>IF(B41&gt;0,('ฟอร์มสูตร ประมาณการเงินเดือน'!A41),(""))</f>
        <v/>
      </c>
      <c r="B41" s="436">
        <f>'ฟอร์มสูตร ประมาณการเงินเดือน'!B41</f>
        <v>0</v>
      </c>
      <c r="C41" s="432" t="str">
        <f t="shared" si="4"/>
        <v/>
      </c>
      <c r="D41" s="433" t="str">
        <f t="shared" si="5"/>
        <v/>
      </c>
      <c r="E41" s="434" t="str">
        <f t="shared" si="6"/>
        <v/>
      </c>
      <c r="F41" s="433" t="str">
        <f t="shared" si="7"/>
        <v/>
      </c>
    </row>
    <row r="42" spans="1:6" ht="19.5" customHeight="1" x14ac:dyDescent="0.2">
      <c r="A42" s="437" t="str">
        <f>IF(B42&gt;0,('ฟอร์มสูตร ประมาณการเงินเดือน'!A42),(""))</f>
        <v/>
      </c>
      <c r="B42" s="436">
        <f>'ฟอร์มสูตร ประมาณการเงินเดือน'!B42</f>
        <v>0</v>
      </c>
      <c r="C42" s="432" t="str">
        <f t="shared" si="4"/>
        <v/>
      </c>
      <c r="D42" s="433" t="str">
        <f t="shared" si="5"/>
        <v/>
      </c>
      <c r="E42" s="434" t="str">
        <f t="shared" si="6"/>
        <v/>
      </c>
      <c r="F42" s="433" t="str">
        <f t="shared" si="7"/>
        <v/>
      </c>
    </row>
    <row r="43" spans="1:6" ht="19.5" customHeight="1" x14ac:dyDescent="0.2">
      <c r="A43" s="437" t="str">
        <f>IF(B43&gt;0,('ฟอร์มสูตร ประมาณการเงินเดือน'!A43),(""))</f>
        <v/>
      </c>
      <c r="B43" s="436">
        <f>'ฟอร์มสูตร ประมาณการเงินเดือน'!B43</f>
        <v>0</v>
      </c>
      <c r="C43" s="432" t="str">
        <f t="shared" si="4"/>
        <v/>
      </c>
      <c r="D43" s="433" t="str">
        <f t="shared" si="5"/>
        <v/>
      </c>
      <c r="E43" s="434" t="str">
        <f t="shared" si="6"/>
        <v/>
      </c>
      <c r="F43" s="433" t="str">
        <f t="shared" si="7"/>
        <v/>
      </c>
    </row>
    <row r="44" spans="1:6" ht="19.5" customHeight="1" x14ac:dyDescent="0.2">
      <c r="A44" s="437" t="str">
        <f>IF(B44&gt;0,('ฟอร์มสูตร ประมาณการเงินเดือน'!A44),(""))</f>
        <v/>
      </c>
      <c r="B44" s="436">
        <f>'ฟอร์มสูตร ประมาณการเงินเดือน'!B44</f>
        <v>0</v>
      </c>
      <c r="C44" s="432" t="str">
        <f t="shared" si="4"/>
        <v/>
      </c>
      <c r="D44" s="433" t="str">
        <f t="shared" si="5"/>
        <v/>
      </c>
      <c r="E44" s="434" t="str">
        <f t="shared" si="6"/>
        <v/>
      </c>
      <c r="F44" s="433" t="str">
        <f t="shared" si="7"/>
        <v/>
      </c>
    </row>
    <row r="45" spans="1:6" ht="19.5" customHeight="1" x14ac:dyDescent="0.2">
      <c r="A45" s="437" t="str">
        <f>IF(B45&gt;0,('ฟอร์มสูตร ประมาณการเงินเดือน'!A45),(""))</f>
        <v/>
      </c>
      <c r="B45" s="436">
        <f>'ฟอร์มสูตร ประมาณการเงินเดือน'!B45</f>
        <v>0</v>
      </c>
      <c r="C45" s="432" t="str">
        <f t="shared" si="4"/>
        <v/>
      </c>
      <c r="D45" s="433" t="str">
        <f t="shared" si="5"/>
        <v/>
      </c>
      <c r="E45" s="434" t="str">
        <f t="shared" si="6"/>
        <v/>
      </c>
      <c r="F45" s="433" t="str">
        <f t="shared" si="7"/>
        <v/>
      </c>
    </row>
    <row r="46" spans="1:6" ht="19.5" customHeight="1" x14ac:dyDescent="0.2">
      <c r="A46" s="437" t="str">
        <f>IF(B46&gt;0,('ฟอร์มสูตร ประมาณการเงินเดือน'!A46),(""))</f>
        <v/>
      </c>
      <c r="B46" s="436">
        <f>'ฟอร์มสูตร ประมาณการเงินเดือน'!B46</f>
        <v>0</v>
      </c>
      <c r="C46" s="432" t="str">
        <f t="shared" si="4"/>
        <v/>
      </c>
      <c r="D46" s="433" t="str">
        <f t="shared" si="5"/>
        <v/>
      </c>
      <c r="E46" s="434" t="str">
        <f t="shared" si="6"/>
        <v/>
      </c>
      <c r="F46" s="433" t="str">
        <f t="shared" si="7"/>
        <v/>
      </c>
    </row>
    <row r="47" spans="1:6" ht="19.5" customHeight="1" x14ac:dyDescent="0.2">
      <c r="A47" s="437" t="str">
        <f>IF(B47&gt;0,('ฟอร์มสูตร ประมาณการเงินเดือน'!A47),(""))</f>
        <v/>
      </c>
      <c r="B47" s="436">
        <f>'ฟอร์มสูตร ประมาณการเงินเดือน'!B47</f>
        <v>0</v>
      </c>
      <c r="C47" s="432" t="str">
        <f t="shared" si="4"/>
        <v/>
      </c>
      <c r="D47" s="433" t="str">
        <f t="shared" si="5"/>
        <v/>
      </c>
      <c r="E47" s="434" t="str">
        <f t="shared" si="6"/>
        <v/>
      </c>
      <c r="F47" s="433" t="str">
        <f t="shared" si="7"/>
        <v/>
      </c>
    </row>
    <row r="48" spans="1:6" ht="19.5" customHeight="1" x14ac:dyDescent="0.2">
      <c r="A48" s="437" t="str">
        <f>IF(B48&gt;0,('ฟอร์มสูตร ประมาณการเงินเดือน'!A48),(""))</f>
        <v/>
      </c>
      <c r="B48" s="436">
        <f>'ฟอร์มสูตร ประมาณการเงินเดือน'!B48</f>
        <v>0</v>
      </c>
      <c r="C48" s="432" t="str">
        <f t="shared" si="4"/>
        <v/>
      </c>
      <c r="D48" s="433" t="str">
        <f t="shared" si="5"/>
        <v/>
      </c>
      <c r="E48" s="434" t="str">
        <f t="shared" si="6"/>
        <v/>
      </c>
      <c r="F48" s="433" t="str">
        <f t="shared" si="7"/>
        <v/>
      </c>
    </row>
    <row r="49" spans="1:6" ht="19.5" customHeight="1" x14ac:dyDescent="0.2">
      <c r="A49" s="437" t="str">
        <f>IF(B49&gt;0,('ฟอร์มสูตร ประมาณการเงินเดือน'!A49),(""))</f>
        <v/>
      </c>
      <c r="B49" s="436">
        <f>'ฟอร์มสูตร ประมาณการเงินเดือน'!B49</f>
        <v>0</v>
      </c>
      <c r="C49" s="432" t="str">
        <f t="shared" si="4"/>
        <v/>
      </c>
      <c r="D49" s="433" t="str">
        <f t="shared" si="5"/>
        <v/>
      </c>
      <c r="E49" s="434" t="str">
        <f t="shared" si="6"/>
        <v/>
      </c>
      <c r="F49" s="433" t="str">
        <f t="shared" si="7"/>
        <v/>
      </c>
    </row>
    <row r="50" spans="1:6" ht="19.5" customHeight="1" x14ac:dyDescent="0.2">
      <c r="A50" s="437" t="str">
        <f>IF(B50&gt;0,('ฟอร์มสูตร ประมาณการเงินเดือน'!A50),(""))</f>
        <v/>
      </c>
      <c r="B50" s="436">
        <f>'ฟอร์มสูตร ประมาณการเงินเดือน'!B50</f>
        <v>0</v>
      </c>
      <c r="C50" s="432" t="str">
        <f t="shared" si="4"/>
        <v/>
      </c>
      <c r="D50" s="433" t="str">
        <f t="shared" si="5"/>
        <v/>
      </c>
      <c r="E50" s="434" t="str">
        <f t="shared" si="6"/>
        <v/>
      </c>
      <c r="F50" s="433" t="str">
        <f t="shared" si="7"/>
        <v/>
      </c>
    </row>
    <row r="51" spans="1:6" ht="19.5" customHeight="1" x14ac:dyDescent="0.2">
      <c r="A51" s="437" t="str">
        <f>IF(B51&gt;0,('ฟอร์มสูตร ประมาณการเงินเดือน'!A51),(""))</f>
        <v/>
      </c>
      <c r="B51" s="436">
        <f>'ฟอร์มสูตร ประมาณการเงินเดือน'!B51</f>
        <v>0</v>
      </c>
      <c r="C51" s="432" t="str">
        <f t="shared" si="4"/>
        <v/>
      </c>
      <c r="D51" s="433" t="str">
        <f t="shared" si="5"/>
        <v/>
      </c>
      <c r="E51" s="434" t="str">
        <f t="shared" si="6"/>
        <v/>
      </c>
      <c r="F51" s="433" t="str">
        <f t="shared" si="7"/>
        <v/>
      </c>
    </row>
    <row r="52" spans="1:6" ht="19.5" customHeight="1" x14ac:dyDescent="0.2">
      <c r="A52" s="437" t="str">
        <f>IF(B52&gt;0,('ฟอร์มสูตร ประมาณการเงินเดือน'!A52),(""))</f>
        <v/>
      </c>
      <c r="B52" s="436">
        <f>'ฟอร์มสูตร ประมาณการเงินเดือน'!B52</f>
        <v>0</v>
      </c>
      <c r="C52" s="432" t="str">
        <f t="shared" ref="C52" si="8">IF(B52&gt;0,5,(""))</f>
        <v/>
      </c>
      <c r="D52" s="433" t="str">
        <f t="shared" ref="D52" si="9">IF(B52&gt;0,(B52*C52/100),(""))</f>
        <v/>
      </c>
      <c r="E52" s="434" t="str">
        <f t="shared" ref="E52" si="10">IF(B52&gt;0,6,(""))</f>
        <v/>
      </c>
      <c r="F52" s="433" t="str">
        <f t="shared" ref="F52" si="11">IF(B52&gt;0,(D52*E52),(""))</f>
        <v/>
      </c>
    </row>
    <row r="53" spans="1:6" ht="19.5" customHeight="1" x14ac:dyDescent="0.2">
      <c r="A53" s="438" t="s">
        <v>204</v>
      </c>
      <c r="B53" s="436"/>
      <c r="C53" s="439"/>
      <c r="D53" s="440"/>
      <c r="E53" s="441"/>
      <c r="F53" s="442">
        <f>SUM(F3:F52)</f>
        <v>298366.5</v>
      </c>
    </row>
    <row r="54" spans="1:6" ht="19.5" customHeight="1" x14ac:dyDescent="0.2">
      <c r="A54" s="443" t="s">
        <v>207</v>
      </c>
      <c r="B54" s="439"/>
      <c r="C54" s="439"/>
      <c r="D54" s="439"/>
      <c r="E54" s="439"/>
      <c r="F54" s="444">
        <v>384076.33</v>
      </c>
    </row>
    <row r="55" spans="1:6" ht="19.5" customHeight="1" x14ac:dyDescent="0.2">
      <c r="A55" s="445" t="s">
        <v>205</v>
      </c>
      <c r="B55" s="446"/>
      <c r="C55" s="446"/>
      <c r="D55" s="447"/>
      <c r="E55" s="448"/>
      <c r="F55" s="449">
        <f>SUM(F53:F54)</f>
        <v>682442.83000000007</v>
      </c>
    </row>
    <row r="56" spans="1:6" ht="24" customHeight="1" x14ac:dyDescent="0.2"/>
    <row r="57" spans="1:6" ht="24" customHeight="1" x14ac:dyDescent="0.2"/>
    <row r="58" spans="1:6" ht="24" customHeight="1" x14ac:dyDescent="0.2"/>
  </sheetData>
  <sheetProtection algorithmName="SHA-512" hashValue="WwPLodkLHdWyPVMGZhh2DPTh4xEIkil87hvGGH2uqYG1gYdv2mLd/2oaxLWqHxusU1shC972vS/pZScfsZU6Mw==" saltValue="S0eNF84V71NHfCwjkb7/gw==" spinCount="100000" sheet="1" objects="1" scenarios="1" selectLockedCells="1"/>
  <mergeCells count="1">
    <mergeCell ref="A1:F1"/>
  </mergeCells>
  <pageMargins left="0.78740157480314965" right="0.15748031496062992" top="0.35433070866141736" bottom="0.27559055118110237" header="0.15748031496062992" footer="0.15748031496062992"/>
  <pageSetup paperSize="9" scale="70" orientation="portrait" r:id="rId1"/>
  <headerFooter>
    <oddHeader xml:space="preserve">&amp;R&amp;A / &amp;F        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RowColHeaders="0" workbookViewId="0">
      <selection activeCell="I19" sqref="I19"/>
    </sheetView>
  </sheetViews>
  <sheetFormatPr defaultRowHeight="14.25" x14ac:dyDescent="0.2"/>
  <cols>
    <col min="1" max="1" width="16.75" customWidth="1"/>
    <col min="2" max="2" width="11.75" customWidth="1"/>
    <col min="3" max="3" width="12.875" customWidth="1"/>
    <col min="4" max="4" width="2.5" customWidth="1"/>
    <col min="5" max="5" width="12.5" customWidth="1"/>
    <col min="6" max="6" width="11.75" customWidth="1"/>
    <col min="7" max="7" width="20" customWidth="1"/>
  </cols>
  <sheetData>
    <row r="1" spans="1:7" ht="28.5" customHeight="1" x14ac:dyDescent="0.2">
      <c r="A1" s="519" t="s">
        <v>101</v>
      </c>
      <c r="B1" s="519"/>
      <c r="C1" s="519"/>
      <c r="D1" s="519"/>
      <c r="E1" s="519"/>
      <c r="F1" s="519"/>
      <c r="G1" s="519"/>
    </row>
    <row r="2" spans="1:7" ht="27" customHeight="1" x14ac:dyDescent="0.2">
      <c r="A2" s="520" t="s">
        <v>108</v>
      </c>
      <c r="B2" s="520"/>
      <c r="C2" s="520"/>
      <c r="D2" s="520"/>
      <c r="E2" s="520"/>
      <c r="F2" s="520"/>
      <c r="G2" s="520"/>
    </row>
    <row r="3" spans="1:7" ht="15" x14ac:dyDescent="0.2">
      <c r="A3" s="521" t="s">
        <v>114</v>
      </c>
      <c r="B3" s="523" t="s">
        <v>115</v>
      </c>
      <c r="C3" s="523" t="s">
        <v>116</v>
      </c>
      <c r="D3" s="523"/>
      <c r="E3" s="523"/>
      <c r="F3" s="524" t="s">
        <v>105</v>
      </c>
      <c r="G3" s="524"/>
    </row>
    <row r="4" spans="1:7" ht="20.25" customHeight="1" x14ac:dyDescent="0.2">
      <c r="A4" s="522"/>
      <c r="B4" s="523"/>
      <c r="C4" s="523"/>
      <c r="D4" s="523"/>
      <c r="E4" s="523"/>
      <c r="F4" s="347" t="s">
        <v>115</v>
      </c>
      <c r="G4" s="347" t="s">
        <v>119</v>
      </c>
    </row>
    <row r="5" spans="1:7" ht="23.25" customHeight="1" x14ac:dyDescent="0.2">
      <c r="A5" s="507" t="s">
        <v>120</v>
      </c>
      <c r="B5" s="507" t="s">
        <v>121</v>
      </c>
      <c r="C5" s="307">
        <v>64740</v>
      </c>
      <c r="D5" s="308" t="s">
        <v>122</v>
      </c>
      <c r="E5" s="309">
        <v>69810</v>
      </c>
      <c r="F5" s="310" t="s">
        <v>123</v>
      </c>
      <c r="G5" s="311">
        <v>66460</v>
      </c>
    </row>
    <row r="6" spans="1:7" ht="23.25" customHeight="1" x14ac:dyDescent="0.2">
      <c r="A6" s="507"/>
      <c r="B6" s="507"/>
      <c r="C6" s="312">
        <v>29980</v>
      </c>
      <c r="D6" s="313" t="s">
        <v>122</v>
      </c>
      <c r="E6" s="314">
        <v>64730</v>
      </c>
      <c r="F6" s="315" t="s">
        <v>124</v>
      </c>
      <c r="G6" s="316">
        <v>64730</v>
      </c>
    </row>
    <row r="7" spans="1:7" ht="23.25" customHeight="1" x14ac:dyDescent="0.2">
      <c r="A7" s="507"/>
      <c r="B7" s="507" t="s">
        <v>125</v>
      </c>
      <c r="C7" s="307">
        <v>59360</v>
      </c>
      <c r="D7" s="308" t="s">
        <v>122</v>
      </c>
      <c r="E7" s="309">
        <v>67560</v>
      </c>
      <c r="F7" s="310" t="s">
        <v>123</v>
      </c>
      <c r="G7" s="311">
        <v>63460</v>
      </c>
    </row>
    <row r="8" spans="1:7" ht="23.25" customHeight="1" x14ac:dyDescent="0.2">
      <c r="A8" s="507"/>
      <c r="B8" s="507"/>
      <c r="C8" s="312">
        <v>24400</v>
      </c>
      <c r="D8" s="313" t="s">
        <v>122</v>
      </c>
      <c r="E8" s="314">
        <v>59350</v>
      </c>
      <c r="F8" s="315" t="s">
        <v>124</v>
      </c>
      <c r="G8" s="316">
        <v>57320</v>
      </c>
    </row>
    <row r="9" spans="1:7" ht="23.25" customHeight="1" x14ac:dyDescent="0.2">
      <c r="A9" s="507" t="s">
        <v>126</v>
      </c>
      <c r="B9" s="507" t="s">
        <v>121</v>
      </c>
      <c r="C9" s="307">
        <v>48420</v>
      </c>
      <c r="D9" s="308" t="s">
        <v>122</v>
      </c>
      <c r="E9" s="309">
        <v>63960</v>
      </c>
      <c r="F9" s="310" t="s">
        <v>123</v>
      </c>
      <c r="G9" s="311">
        <v>56190</v>
      </c>
    </row>
    <row r="10" spans="1:7" ht="23.25" customHeight="1" x14ac:dyDescent="0.2">
      <c r="A10" s="507"/>
      <c r="B10" s="507"/>
      <c r="C10" s="312">
        <v>24400</v>
      </c>
      <c r="D10" s="313" t="s">
        <v>122</v>
      </c>
      <c r="E10" s="314">
        <v>48410</v>
      </c>
      <c r="F10" s="315" t="s">
        <v>124</v>
      </c>
      <c r="G10" s="316">
        <v>48190</v>
      </c>
    </row>
    <row r="11" spans="1:7" ht="23.25" customHeight="1" x14ac:dyDescent="0.2">
      <c r="A11" s="507"/>
      <c r="B11" s="507" t="s">
        <v>125</v>
      </c>
      <c r="C11" s="307">
        <v>40390</v>
      </c>
      <c r="D11" s="308" t="s">
        <v>122</v>
      </c>
      <c r="E11" s="309">
        <v>54090</v>
      </c>
      <c r="F11" s="310" t="s">
        <v>123</v>
      </c>
      <c r="G11" s="311">
        <v>47240</v>
      </c>
    </row>
    <row r="12" spans="1:7" ht="23.25" customHeight="1" x14ac:dyDescent="0.2">
      <c r="A12" s="507"/>
      <c r="B12" s="507"/>
      <c r="C12" s="312">
        <v>19860</v>
      </c>
      <c r="D12" s="313" t="s">
        <v>122</v>
      </c>
      <c r="E12" s="314">
        <v>40380</v>
      </c>
      <c r="F12" s="315" t="s">
        <v>124</v>
      </c>
      <c r="G12" s="316">
        <v>33520</v>
      </c>
    </row>
    <row r="13" spans="1:7" ht="23.25" customHeight="1" x14ac:dyDescent="0.2">
      <c r="A13" s="507" t="s">
        <v>127</v>
      </c>
      <c r="B13" s="507" t="s">
        <v>128</v>
      </c>
      <c r="C13" s="307">
        <v>56820</v>
      </c>
      <c r="D13" s="308" t="s">
        <v>122</v>
      </c>
      <c r="E13" s="309">
        <v>69810</v>
      </c>
      <c r="F13" s="310" t="s">
        <v>129</v>
      </c>
      <c r="G13" s="311">
        <v>63310</v>
      </c>
    </row>
    <row r="14" spans="1:7" ht="23.25" customHeight="1" x14ac:dyDescent="0.2">
      <c r="A14" s="507"/>
      <c r="B14" s="507"/>
      <c r="C14" s="317">
        <v>29980</v>
      </c>
      <c r="D14" s="318" t="s">
        <v>122</v>
      </c>
      <c r="E14" s="319">
        <v>56810</v>
      </c>
      <c r="F14" s="320" t="s">
        <v>130</v>
      </c>
      <c r="G14" s="321">
        <v>56020</v>
      </c>
    </row>
    <row r="15" spans="1:7" ht="23.25" customHeight="1" x14ac:dyDescent="0.2">
      <c r="A15" s="507"/>
      <c r="B15" s="507"/>
      <c r="C15" s="322">
        <v>56030</v>
      </c>
      <c r="D15" s="323" t="s">
        <v>122</v>
      </c>
      <c r="E15" s="324">
        <v>67560</v>
      </c>
      <c r="F15" s="325" t="s">
        <v>131</v>
      </c>
      <c r="G15" s="326">
        <v>61630</v>
      </c>
    </row>
    <row r="16" spans="1:7" ht="23.25" customHeight="1" x14ac:dyDescent="0.2">
      <c r="A16" s="507"/>
      <c r="B16" s="507"/>
      <c r="C16" s="312">
        <v>29980</v>
      </c>
      <c r="D16" s="313" t="s">
        <v>122</v>
      </c>
      <c r="E16" s="314">
        <v>56020</v>
      </c>
      <c r="F16" s="315" t="s">
        <v>132</v>
      </c>
      <c r="G16" s="316">
        <v>56020</v>
      </c>
    </row>
    <row r="17" spans="1:7" ht="23.25" customHeight="1" x14ac:dyDescent="0.2">
      <c r="A17" s="507"/>
      <c r="B17" s="507" t="s">
        <v>133</v>
      </c>
      <c r="C17" s="307">
        <v>47090</v>
      </c>
      <c r="D17" s="308" t="s">
        <v>122</v>
      </c>
      <c r="E17" s="309">
        <v>62760</v>
      </c>
      <c r="F17" s="310" t="s">
        <v>123</v>
      </c>
      <c r="G17" s="311">
        <v>54920</v>
      </c>
    </row>
    <row r="18" spans="1:7" ht="23.25" customHeight="1" x14ac:dyDescent="0.2">
      <c r="A18" s="507"/>
      <c r="B18" s="507"/>
      <c r="C18" s="312">
        <v>24400</v>
      </c>
      <c r="D18" s="313" t="s">
        <v>122</v>
      </c>
      <c r="E18" s="314">
        <v>47080</v>
      </c>
      <c r="F18" s="315" t="s">
        <v>124</v>
      </c>
      <c r="G18" s="316">
        <v>46260</v>
      </c>
    </row>
    <row r="19" spans="1:7" ht="23.25" customHeight="1" x14ac:dyDescent="0.2">
      <c r="A19" s="507"/>
      <c r="B19" s="510" t="s">
        <v>134</v>
      </c>
      <c r="C19" s="307">
        <v>37620</v>
      </c>
      <c r="D19" s="308" t="s">
        <v>122</v>
      </c>
      <c r="E19" s="309">
        <v>53080</v>
      </c>
      <c r="F19" s="310" t="s">
        <v>123</v>
      </c>
      <c r="G19" s="311">
        <v>45350</v>
      </c>
    </row>
    <row r="20" spans="1:7" ht="23.25" customHeight="1" x14ac:dyDescent="0.2">
      <c r="A20" s="507"/>
      <c r="B20" s="510"/>
      <c r="C20" s="312">
        <v>19860</v>
      </c>
      <c r="D20" s="313" t="s">
        <v>122</v>
      </c>
      <c r="E20" s="314">
        <v>37610</v>
      </c>
      <c r="F20" s="315" t="s">
        <v>124</v>
      </c>
      <c r="G20" s="316">
        <v>33510</v>
      </c>
    </row>
    <row r="21" spans="1:7" ht="23.25" customHeight="1" x14ac:dyDescent="0.2">
      <c r="A21" s="507"/>
      <c r="B21" s="507" t="s">
        <v>135</v>
      </c>
      <c r="C21" s="307">
        <v>27350</v>
      </c>
      <c r="D21" s="308" t="s">
        <v>122</v>
      </c>
      <c r="E21" s="309">
        <v>39630</v>
      </c>
      <c r="F21" s="310" t="s">
        <v>123</v>
      </c>
      <c r="G21" s="311">
        <v>33490</v>
      </c>
    </row>
    <row r="22" spans="1:7" ht="23.25" customHeight="1" x14ac:dyDescent="0.2">
      <c r="A22" s="507"/>
      <c r="B22" s="507"/>
      <c r="C22" s="312">
        <v>13160</v>
      </c>
      <c r="D22" s="313" t="s">
        <v>122</v>
      </c>
      <c r="E22" s="314">
        <v>27340</v>
      </c>
      <c r="F22" s="315" t="s">
        <v>124</v>
      </c>
      <c r="G22" s="316">
        <v>22220</v>
      </c>
    </row>
    <row r="23" spans="1:7" ht="23.25" customHeight="1" x14ac:dyDescent="0.2">
      <c r="A23" s="507"/>
      <c r="B23" s="507" t="s">
        <v>136</v>
      </c>
      <c r="C23" s="307">
        <v>19120</v>
      </c>
      <c r="D23" s="308" t="s">
        <v>122</v>
      </c>
      <c r="E23" s="309">
        <v>24450</v>
      </c>
      <c r="F23" s="310" t="s">
        <v>123</v>
      </c>
      <c r="G23" s="311">
        <v>21780</v>
      </c>
    </row>
    <row r="24" spans="1:7" ht="23.25" customHeight="1" x14ac:dyDescent="0.2">
      <c r="A24" s="507"/>
      <c r="B24" s="507"/>
      <c r="C24" s="312">
        <v>7140</v>
      </c>
      <c r="D24" s="313" t="s">
        <v>122</v>
      </c>
      <c r="E24" s="314">
        <v>19110</v>
      </c>
      <c r="F24" s="315" t="s">
        <v>124</v>
      </c>
      <c r="G24" s="316">
        <v>16440</v>
      </c>
    </row>
    <row r="25" spans="1:7" ht="23.25" customHeight="1" x14ac:dyDescent="0.2">
      <c r="A25" s="507" t="s">
        <v>138</v>
      </c>
      <c r="B25" s="507" t="s">
        <v>139</v>
      </c>
      <c r="C25" s="307">
        <v>55500</v>
      </c>
      <c r="D25" s="308" t="s">
        <v>122</v>
      </c>
      <c r="E25" s="309">
        <v>62760</v>
      </c>
      <c r="F25" s="310" t="s">
        <v>123</v>
      </c>
      <c r="G25" s="311">
        <v>59130</v>
      </c>
    </row>
    <row r="26" spans="1:7" ht="23.25" customHeight="1" x14ac:dyDescent="0.2">
      <c r="A26" s="507"/>
      <c r="B26" s="507"/>
      <c r="C26" s="312">
        <v>48220</v>
      </c>
      <c r="D26" s="313" t="s">
        <v>122</v>
      </c>
      <c r="E26" s="314">
        <v>55490</v>
      </c>
      <c r="F26" s="315" t="s">
        <v>124</v>
      </c>
      <c r="G26" s="316">
        <v>51860</v>
      </c>
    </row>
    <row r="27" spans="1:7" ht="23.25" customHeight="1" x14ac:dyDescent="0.2">
      <c r="A27" s="507"/>
      <c r="B27" s="507" t="s">
        <v>142</v>
      </c>
      <c r="C27" s="307">
        <v>32630</v>
      </c>
      <c r="D27" s="308" t="s">
        <v>122</v>
      </c>
      <c r="E27" s="309">
        <v>49830</v>
      </c>
      <c r="F27" s="310" t="s">
        <v>129</v>
      </c>
      <c r="G27" s="311">
        <v>41230</v>
      </c>
    </row>
    <row r="28" spans="1:7" ht="23.25" customHeight="1" x14ac:dyDescent="0.2">
      <c r="A28" s="507"/>
      <c r="B28" s="507"/>
      <c r="C28" s="322">
        <v>15410</v>
      </c>
      <c r="D28" s="323" t="s">
        <v>122</v>
      </c>
      <c r="E28" s="324">
        <v>32620</v>
      </c>
      <c r="F28" s="325" t="s">
        <v>130</v>
      </c>
      <c r="G28" s="326">
        <v>29550</v>
      </c>
    </row>
    <row r="29" spans="1:7" ht="23.25" customHeight="1" x14ac:dyDescent="0.2">
      <c r="A29" s="507"/>
      <c r="B29" s="507"/>
      <c r="C29" s="322">
        <v>29560</v>
      </c>
      <c r="D29" s="323" t="s">
        <v>122</v>
      </c>
      <c r="E29" s="324">
        <v>37830</v>
      </c>
      <c r="F29" s="325" t="s">
        <v>131</v>
      </c>
      <c r="G29" s="326">
        <v>32230</v>
      </c>
    </row>
    <row r="30" spans="1:7" ht="23.25" customHeight="1" x14ac:dyDescent="0.2">
      <c r="A30" s="507"/>
      <c r="B30" s="507"/>
      <c r="C30" s="331">
        <v>15410</v>
      </c>
      <c r="D30" s="332" t="s">
        <v>122</v>
      </c>
      <c r="E30" s="333">
        <v>29550</v>
      </c>
      <c r="F30" s="334" t="s">
        <v>132</v>
      </c>
      <c r="G30" s="335">
        <v>29550</v>
      </c>
    </row>
    <row r="31" spans="1:7" ht="23.25" customHeight="1" x14ac:dyDescent="0.2">
      <c r="A31" s="507"/>
      <c r="B31" s="508" t="s">
        <v>146</v>
      </c>
      <c r="C31" s="307">
        <v>22720</v>
      </c>
      <c r="D31" s="308" t="s">
        <v>122</v>
      </c>
      <c r="E31" s="309">
        <v>35220</v>
      </c>
      <c r="F31" s="310" t="s">
        <v>123</v>
      </c>
      <c r="G31" s="311">
        <v>28970</v>
      </c>
    </row>
    <row r="32" spans="1:7" ht="23.25" customHeight="1" x14ac:dyDescent="0.2">
      <c r="A32" s="507"/>
      <c r="B32" s="509"/>
      <c r="C32" s="312">
        <v>10190</v>
      </c>
      <c r="D32" s="313" t="s">
        <v>122</v>
      </c>
      <c r="E32" s="314">
        <v>22710</v>
      </c>
      <c r="F32" s="315" t="s">
        <v>124</v>
      </c>
      <c r="G32" s="316">
        <v>16450</v>
      </c>
    </row>
    <row r="33" spans="1:7" ht="23.25" customHeight="1" x14ac:dyDescent="0.2">
      <c r="A33" s="507"/>
      <c r="B33" s="507" t="s">
        <v>149</v>
      </c>
      <c r="C33" s="307">
        <v>13720</v>
      </c>
      <c r="D33" s="308" t="s">
        <v>122</v>
      </c>
      <c r="E33" s="309">
        <v>19100</v>
      </c>
      <c r="F33" s="310" t="s">
        <v>123</v>
      </c>
      <c r="G33" s="311">
        <v>16410</v>
      </c>
    </row>
    <row r="34" spans="1:7" ht="23.25" customHeight="1" x14ac:dyDescent="0.2">
      <c r="A34" s="507"/>
      <c r="B34" s="507"/>
      <c r="C34" s="312">
        <v>4870</v>
      </c>
      <c r="D34" s="313" t="s">
        <v>122</v>
      </c>
      <c r="E34" s="314">
        <v>13710</v>
      </c>
      <c r="F34" s="315" t="s">
        <v>124</v>
      </c>
      <c r="G34" s="316">
        <v>11020</v>
      </c>
    </row>
  </sheetData>
  <sheetProtection password="DCD1" sheet="1" objects="1" scenarios="1" selectLockedCells="1" selectUnlockedCells="1"/>
  <mergeCells count="23">
    <mergeCell ref="A1:G1"/>
    <mergeCell ref="A2:G2"/>
    <mergeCell ref="A3:A4"/>
    <mergeCell ref="B3:B4"/>
    <mergeCell ref="C3:E4"/>
    <mergeCell ref="F3:G3"/>
    <mergeCell ref="A5:A8"/>
    <mergeCell ref="B5:B6"/>
    <mergeCell ref="B7:B8"/>
    <mergeCell ref="A9:A12"/>
    <mergeCell ref="B9:B10"/>
    <mergeCell ref="B11:B12"/>
    <mergeCell ref="A13:A24"/>
    <mergeCell ref="B13:B16"/>
    <mergeCell ref="B17:B18"/>
    <mergeCell ref="B19:B20"/>
    <mergeCell ref="B21:B22"/>
    <mergeCell ref="B23:B24"/>
    <mergeCell ref="A25:A34"/>
    <mergeCell ref="B25:B26"/>
    <mergeCell ref="B27:B30"/>
    <mergeCell ref="B31:B32"/>
    <mergeCell ref="B33:B34"/>
  </mergeCells>
  <pageMargins left="0.45" right="0.24" top="0.27" bottom="0.25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ตัวอย่าง เทียบบำนาญ</vt:lpstr>
      <vt:lpstr>ตัวอย่างเลื่อนเงินเดือน 2</vt:lpstr>
      <vt:lpstr>ฐานเงินเดือนข้าราชการพลเรือน</vt:lpstr>
      <vt:lpstr>ฟอร์มประมาณการ</vt:lpstr>
      <vt:lpstr>ฟอร์มสูตรเทียบบำนาญ1</vt:lpstr>
      <vt:lpstr>ฟอร์มสูตรเทียบบำนาญ</vt:lpstr>
      <vt:lpstr>ฟอร์มสูตร ประมาณการเงินเดือน</vt:lpstr>
      <vt:lpstr>ประมาณการ เงินกบข.</vt:lpstr>
      <vt:lpstr>ฐานเงินเดือนข้าราชการพลเรือน2</vt:lpstr>
      <vt:lpstr>'ตัวอย่าง เทียบบำนาญ'!Print_Area</vt:lpstr>
      <vt:lpstr>'ตัวอย่างเลื่อนเงินเดือน 2'!Print_Area</vt:lpstr>
      <vt:lpstr>ฟอร์มประมาณการ!Print_Area</vt:lpstr>
      <vt:lpstr>'ฟอร์มสูตร ประมาณการเงินเดือน'!Print_Area</vt:lpstr>
      <vt:lpstr>ฟอร์มสูตรเทียบบำนาญ!Print_Area</vt:lpstr>
      <vt:lpstr>ฟอร์มสูตรเทียบบำนาญ1!Print_Area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เปรียบเทียบบำนาญ</dc:title>
  <dc:subject>ข้าราชการ</dc:subject>
  <dc:creator>srinuan</dc:creator>
  <cp:lastModifiedBy>จุฑามาศ กองกาวี</cp:lastModifiedBy>
  <cp:lastPrinted>2014-12-05T09:07:29Z</cp:lastPrinted>
  <dcterms:created xsi:type="dcterms:W3CDTF">2013-07-23T10:09:13Z</dcterms:created>
  <dcterms:modified xsi:type="dcterms:W3CDTF">2014-12-08T01:10:03Z</dcterms:modified>
</cp:coreProperties>
</file>